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C9cYmhg4YMyfPd9x/Z4isr+1lNwdTRVyj5m3yfw5Qz5zACl/ugPn1TFptJuoyjIx4Sbt+yjEsEaIJ+HcHOjbaA==" workbookSaltValue="dqGMqTw6h8egmS653iOtg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I245" i="83" l="1"/>
  <c r="AJ70" i="83"/>
  <c r="AN70" i="83" s="1"/>
  <c r="Y52" i="83" s="1"/>
  <c r="AG190" i="83"/>
  <c r="AG302" i="83"/>
  <c r="AH161" i="83"/>
  <c r="AG214" i="83"/>
  <c r="AK161" i="83"/>
  <c r="AK214" i="83"/>
  <c r="AP214" i="83" s="1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I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278" i="83" l="1"/>
  <c r="AQ214" i="83"/>
  <c r="Y112" i="83"/>
  <c r="AO214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<sst xmlns="http://schemas.openxmlformats.org/spreadsheetml/2006/main" count="65943" uniqueCount="759">
  <si>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</si>
  <si>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</si>
  <si>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</si>
  <si>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</si>
  <si>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</si>
  <si>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</si>
  <si>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</si>
  <si>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</si>
  <si>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</si>
  <si>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</si>
  <si>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</si>
  <si>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</si>
  <si>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</si>
  <si>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</si>
  <si>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</si>
  <si>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</si>
  <si>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</si>
  <si>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</si>
  <si>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</si>
  <si>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</si>
  <si>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</si>
  <si>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</si>
  <si>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</si>
  <si>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</si>
  <si>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</si>
  <si>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</si>
  <si>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</si>
  <si>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</si>
  <si>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</si>
  <si>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</si>
  <si>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</si>
  <si>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</si>
  <si>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</si>
  <si>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</si>
  <si>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</si>
  <si>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</si>
  <si>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</si>
  <si>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</si>
  <si>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</si>
  <si>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</si>
  <si>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</si>
  <si>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</si>
  <si>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</si>
  <si>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</si>
  <si>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</si>
  <si>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</si>
  <si>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</si>
  <si>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</si>
  <si>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</si>
  <si>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</si>
  <si>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</si>
  <si>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</si>
  <si>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</si>
  <si>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</si>
  <si>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</si>
  <si>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</si>
  <si>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</si>
  <si>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</si>
  <si>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</si>
  <si>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</si>
  <si>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</si>
  <si>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</si>
  <si>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</si>
  <si>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</si>
  <si>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</si>
  <si>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</si>
  <si>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</si>
  <si>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</si>
  <si>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</si>
  <si>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</si>
  <si>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</si>
  <si>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</si>
  <si>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</si>
  <si>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</si>
  <si>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</si>
  <si>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</si>
  <si>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</si>
  <si>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</si>
  <si>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</si>
  <si>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</si>
  <si>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</si>
  <si>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</si>
  <si>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</si>
  <si>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</si>
  <si>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</si>
  <si>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</si>
  <si>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</si>
  <si>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</si>
  <si>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</si>
  <si>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</si>
  <si>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</si>
  <si>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</si>
  <si>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</si>
  <si>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</si>
  <si>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</si>
  <si>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</si>
  <si>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</si>
  <si>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</si>
  <si>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</si>
  <si>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</si>
  <si>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</si>
  <si>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</si>
  <si>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</si>
  <si>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</si>
  <si>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</si>
  <si>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</si>
  <si>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</si>
  <si>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</si>
  <si>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</si>
  <si>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</si>
  <si>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</si>
  <si>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</si>
  <si>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</si>
  <si>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</si>
  <si>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</si>
  <si>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</si>
  <si>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</si>
  <si>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</si>
  <si>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</si>
  <si>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</si>
  <si>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</si>
  <si>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</si>
  <si>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</si>
  <si>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</si>
  <si>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</si>
  <si>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</si>
  <si>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</si>
  <si>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</si>
  <si>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</si>
  <si>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</si>
  <si>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</si>
  <si>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</si>
  <si>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</si>
  <si>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</si>
  <si>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</si>
  <si>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</si>
  <si>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</si>
  <si>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</si>
  <si>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</si>
  <si>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</si>
  <si>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</si>
  <si>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</si>
  <si>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</si>
  <si>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</si>
  <si>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</si>
  <si>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</si>
  <si>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</si>
  <si>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</si>
  <si>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</si>
  <si>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</si>
  <si>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</si>
  <si>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</si>
  <si>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</si>
  <si>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</si>
  <si>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</si>
  <si>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</si>
  <si>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</si>
  <si>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</si>
  <si>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</si>
  <si>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</si>
  <si>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</si>
  <si>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</si>
  <si>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</si>
  <si>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</si>
  <si>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</si>
  <si>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</si>
  <si>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</si>
  <si>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</si>
  <si>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</si>
  <si>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</si>
  <si>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</si>
  <si>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</si>
  <si>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</si>
  <si>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</si>
  <si>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</si>
  <si>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</si>
  <si>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</si>
  <si>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</si>
  <si>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</si>
  <si>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</si>
  <si>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</si>
  <si>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</si>
  <si>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</si>
  <si>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</si>
  <si>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</si>
  <si>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</si>
  <si>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</si>
  <si>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</si>
  <si>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</si>
  <si>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</si>
  <si>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</si>
  <si>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</si>
  <si>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</si>
  <si>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</si>
  <si>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</si>
  <si>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</si>
  <si>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</si>
  <si>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</si>
  <si>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</si>
  <si>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</si>
  <si>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</si>
  <si>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</si>
  <si>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</si>
  <si>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</si>
  <si>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</si>
  <si>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</si>
  <si>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</si>
  <si>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</si>
  <si>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</si>
  <si>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</si>
  <si>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</si>
  <si>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</si>
  <si>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</si>
  <si>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</si>
  <si>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</si>
  <si>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</si>
  <si>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</si>
  <si>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</si>
  <si>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</si>
  <si>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</si>
  <si>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</si>
  <si>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</si>
  <si>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</si>
  <si>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</si>
  <si>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</si>
  <si>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</si>
  <si>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</si>
  <si>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</si>
  <si>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</si>
  <si>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</si>
  <si>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</si>
  <si>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</si>
  <si>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</si>
  <si>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</si>
  <si>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</si>
  <si>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</si>
  <si>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</si>
  <si>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</si>
  <si>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</si>
  <si>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</si>
  <si>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</si>
  <si>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</si>
  <si>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</si>
  <si>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</si>
  <si>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</si>
  <si>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</si>
  <si>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</si>
  <si>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</si>
  <si>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</si>
  <si>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</si>
  <si>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</si>
  <si>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</si>
  <si>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</si>
  <si>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</si>
  <si>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</si>
  <si>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</si>
  <si>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</si>
  <si>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</si>
  <si>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</si>
  <si>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</si>
  <si>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</si>
  <si>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</si>
  <si>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</si>
  <si>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</si>
  <si>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</si>
  <si>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</si>
  <si>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</si>
  <si>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</si>
  <si>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</si>
  <si>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</si>
  <si>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</si>
  <si>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</si>
  <si>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</si>
  <si>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</si>
  <si>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</si>
  <si>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</si>
  <si>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</si>
  <si>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</si>
  <si>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</si>
  <si>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</si>
  <si>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</si>
  <si>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</si>
  <si>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</si>
  <si>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</si>
  <si>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</si>
  <si>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</si>
  <si>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</si>
  <si>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</si>
  <si>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</si>
  <si>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</si>
  <si>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</si>
  <si>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</si>
  <si>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</si>
  <si>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</si>
  <si>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</si>
  <si>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</si>
  <si>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</si>
  <si>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</si>
  <si>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</si>
  <si>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</si>
  <si>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</si>
  <si>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</si>
  <si>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</si>
  <si>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</si>
  <si>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</si>
  <si>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</si>
  <si>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</si>
  <si>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</si>
  <si>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</si>
  <si>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</si>
  <si>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</si>
  <si>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</si>
  <si>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</si>
  <si>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</si>
  <si>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</si>
  <si>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</si>
  <si>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</si>
  <si>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</si>
  <si>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</si>
  <si>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</si>
  <si>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</si>
  <si>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</si>
  <si>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</si>
  <si>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</si>
  <si>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</si>
  <si>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</si>
  <si>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</si>
  <si>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</si>
  <si>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</si>
  <si>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</si>
  <si>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</si>
  <si>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</si>
  <si>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</si>
  <si>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</si>
  <si>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</si>
  <si>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</si>
  <si>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</si>
  <si>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</si>
  <si>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</si>
  <si>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</si>
  <si>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</si>
  <si>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</si>
  <si>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</si>
  <si>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</si>
  <si>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</si>
  <si>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</si>
  <si>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</si>
  <si>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</si>
  <si>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</si>
  <si>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</si>
  <si>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</si>
  <si>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</si>
  <si>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</si>
  <si>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</si>
  <si>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</si>
  <si>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</si>
  <si>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</si>
  <si>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</si>
  <si>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</si>
  <si>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</si>
  <si>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</si>
  <si>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</si>
  <si>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</si>
  <si>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</si>
  <si>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</si>
  <si>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</si>
  <si>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</si>
  <si>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</si>
  <si>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</si>
  <si>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</si>
  <si>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</si>
  <si>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</si>
  <si>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</si>
  <si>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</si>
  <si>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</si>
  <si>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</si>
  <si>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</si>
  <si>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</si>
  <si>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</si>
  <si>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</si>
  <si>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</si>
  <si>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</si>
  <si>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</si>
  <si>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</si>
  <si>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</si>
  <si>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</si>
  <si>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</si>
  <si>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</si>
  <si>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</si>
  <si>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</si>
  <si>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</si>
  <si>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</si>
  <si>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</si>
  <si>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</si>
  <si>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</si>
  <si>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</si>
  <si>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</si>
  <si>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</si>
  <si>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</si>
  <si>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</si>
  <si>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</si>
  <si>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</si>
  <si>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</si>
  <si>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</si>
  <si>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</si>
  <si>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</si>
  <si>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</si>
  <si>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</si>
  <si>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</si>
  <si>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</si>
  <si>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</si>
  <si>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</si>
  <si>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</si>
  <si>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</si>
  <si>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</si>
  <si>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</si>
  <si>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</si>
  <si>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</si>
  <si>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</si>
  <si>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</si>
  <si>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</si>
  <si>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</si>
  <si>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</si>
  <si>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</si>
  <si>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</si>
  <si>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</si>
  <si>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</si>
  <si>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</si>
  <si>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</si>
  <si>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</si>
  <si>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</si>
  <si>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</si>
  <si>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</si>
  <si>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</si>
  <si>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</si>
  <si>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</si>
  <si>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</si>
  <si>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</si>
  <si>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</si>
  <si>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</si>
  <si>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</si>
  <si>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</si>
  <si>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</si>
  <si>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</si>
  <si>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</si>
  <si>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</si>
  <si>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</si>
  <si>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</si>
  <si>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</si>
  <si>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</si>
  <si>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</si>
  <si>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</si>
  <si>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</si>
  <si>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</si>
  <si>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</si>
  <si>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</si>
  <si>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</si>
  <si>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</si>
  <si>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</si>
  <si>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</si>
  <si>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</si>
  <si>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</si>
  <si>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</si>
  <si>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</si>
  <si>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</si>
  <si>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</si>
  <si>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</si>
  <si>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</si>
  <si>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</si>
  <si>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</si>
  <si>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</si>
  <si>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</si>
  <si>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</si>
  <si>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</si>
  <si>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</si>
  <si>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</si>
  <si>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</si>
  <si>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</si>
  <si>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</si>
  <si>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</si>
  <si>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</si>
  <si>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</si>
  <si>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</si>
  <si>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</si>
  <si>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</si>
  <si>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</si>
  <si>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</si>
  <si>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</si>
  <si>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</si>
  <si>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</si>
  <si>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</si>
  <si>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</si>
  <si>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</si>
  <si>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</si>
  <si>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</si>
  <si>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</si>
  <si>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</si>
  <si>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</si>
  <si>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</si>
  <si>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</si>
  <si>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</si>
  <si>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</si>
  <si>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</si>
  <si>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</si>
  <si>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</si>
  <si>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</si>
  <si>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</si>
  <si>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</si>
  <si>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</si>
  <si>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</si>
  <si>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</si>
  <si>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</si>
  <si>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</si>
  <si>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</si>
  <si>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</si>
  <si>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</si>
  <si>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</si>
  <si>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</si>
  <si>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</si>
  <si>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</si>
  <si>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</si>
  <si>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</si>
  <si>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</si>
  <si>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</si>
  <si>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</si>
  <si>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</si>
  <si>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</si>
  <si>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</si>
  <si>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</si>
  <si>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</si>
  <si>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</si>
  <si>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</si>
  <si>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</si>
  <si>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</si>
  <si>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</si>
  <si>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</si>
  <si>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</si>
  <si>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</si>
  <si>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</si>
  <si>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</si>
  <si>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</si>
  <si>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</si>
  <si>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</si>
  <si>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</si>
  <si>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</si>
  <si>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</si>
  <si>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</si>
  <si>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</si>
  <si>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</si>
  <si>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</si>
  <si>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</si>
  <si>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</si>
  <si>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</si>
  <si>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</si>
  <si>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</si>
  <si>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</si>
  <si>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</si>
  <si>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</si>
  <si>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</si>
  <si>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</si>
  <si>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</si>
  <si>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</si>
  <si>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</si>
  <si>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</si>
  <si>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</si>
  <si>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</si>
  <si>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</si>
  <si>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</si>
  <si>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</si>
  <si>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</si>
  <si>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</si>
  <si>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</si>
  <si>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</si>
  <si>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</si>
  <si>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</si>
  <si>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</si>
  <si>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</si>
  <si>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</si>
  <si>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</si>
  <si>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</si>
  <si>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</si>
  <si>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</si>
  <si>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</si>
  <si>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</si>
  <si>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</si>
  <si>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</si>
  <si>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</si>
  <si>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</si>
  <si>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</si>
  <si>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</si>
  <si>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</si>
  <si>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</si>
  <si>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</si>
  <si>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</si>
  <si>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</si>
  <si>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</si>
  <si>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</si>
  <si>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</si>
  <si>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</si>
  <si>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</si>
  <si>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</si>
  <si>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</si>
  <si>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</si>
  <si>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</si>
  <si>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</si>
  <si>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</si>
  <si>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</si>
  <si>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</si>
  <si>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</si>
  <si>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</si>
  <si>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</si>
  <si>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</si>
  <si>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</si>
  <si>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</si>
  <si>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</si>
  <si>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</si>
  <si>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</si>
  <si>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</si>
  <si>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</si>
  <si>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</si>
  <si>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</si>
  <si>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</si>
  <si>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</si>
  <si>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</si>
  <si>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</si>
  <si>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</si>
  <si>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</si>
  <si>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</si>
  <si>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</si>
  <si>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</si>
  <si>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</si>
  <si>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</si>
  <si>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</si>
  <si>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</si>
  <si>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</si>
  <si>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</si>
  <si>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</si>
  <si>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</si>
  <si>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</si>
  <si>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</si>
  <si>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</si>
  <si>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</si>
  <si>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</si>
  <si>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</si>
  <si>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</si>
  <si>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</si>
  <si>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</si>
  <si>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</si>
  <si>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</si>
  <si>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</si>
  <si>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</si>
  <si>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</si>
  <si>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</si>
  <si>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</si>
  <si>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</si>
  <si>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</si>
  <si>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</si>
  <si>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</si>
  <si>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</si>
  <si>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</si>
  <si>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</si>
  <si>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</si>
  <si>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</si>
  <si>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</si>
  <si>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</si>
  <si>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</si>
  <si>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</si>
  <si>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</si>
  <si>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</si>
  <si>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</si>
  <si>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</si>
  <si>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</si>
  <si>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</si>
  <si>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</si>
  <si>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</si>
  <si>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</si>
  <si>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</si>
  <si>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</si>
  <si>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</si>
  <si>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</si>
  <si>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</si>
  <si>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</si>
  <si>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</si>
  <si>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</si>
  <si>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</si>
  <si>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</si>
  <si>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</si>
  <si>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</si>
  <si>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</si>
  <si>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</si>
  <si>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</si>
  <si>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</si>
  <si>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</si>
  <si>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</si>
  <si>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</si>
  <si>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</si>
  <si>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</si>
  <si>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</si>
  <si>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</si>
  <si>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</si>
  <si>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</si>
  <si>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</si>
  <si>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</si>
  <si>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</si>
  <si>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</si>
  <si>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</si>
  <si>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</si>
  <si>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</si>
  <si>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</si>
  <si>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</si>
  <si>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</si>
  <si>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</si>
  <si>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</si>
  <si>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</si>
  <si>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</si>
  <si>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</si>
  <si>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</si>
  <si>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</si>
  <si>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</si>
  <si>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</si>
  <si>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</si>
  <si>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</si>
  <si>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</si>
  <si>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</si>
  <si>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</si>
  <si>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</si>
  <si>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</si>
  <si>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</si>
  <si>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</si>
  <si>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</si>
  <si>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</si>
  <si>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</si>
  <si>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</si>
  <si>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</si>
  <si>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</si>
  <si>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</si>
  <si>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</si>
  <si>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</si>
  <si>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</si>
  <si>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</si>
  <si>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</si>
  <si>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</si>
  <si>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</si>
  <si>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</si>
  <si>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</si>
  <si>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</si>
  <si>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</si>
  <si>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</si>
  <si>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</si>
  <si>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</si>
  <si>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</si>
  <si>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</si>
  <si>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</si>
  <si>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</si>
  <si>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</si>
  <si>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Deputy Minister</t>
  </si>
  <si>
    <t>Minister</t>
  </si>
  <si>
    <t>Interns</t>
  </si>
  <si>
    <t xml:space="preserve">Other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</si>
</sst>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32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32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32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32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32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0.65454966350124233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5.7808310676021282E-2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6.0685791145820712E-2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4.123345610329718E-4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8.1018028537330977E-2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8.5171929318634723E-2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3.7756389195093852E-2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3.2029028219904314E-4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1.858034099279449E-2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3.6969217898297638E-3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7.2522132272440268E-2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7.0608412516601785E-2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6.9608412516601784E-2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6.7608412516601768E-2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1.2869638350519744E-2</v>
      </c>
      <c r="AB7" s="2">
        <f>SUMIFS(PERSALDATA!$G$2:$G$20871,PERSALDATA!$A$2:$A$20871,WORKING!A7,PERSALDATA!$D$2:$D$20871,WORKING!B7,PERSALDATA!$E$2:$E$20871,WORKING!C7,PERSALDATA!$F$2:$F$20871,"S&amp;W: BASIC SALARY (RES)")</f>
        <v>10</v>
      </c>
      <c r="AC7" s="2">
        <f>SUMIFS(PERSALDATA!$H$2:$H$20871,PERSALDATA!$A$2:$A$20871,WORKING!A7,PERSALDATA!$D$2:$D$20871,WORKING!B7,PERSALDATA!$E$2:$E$20871,WORKING!C7)</f>
        <v>2402539.3299999996</v>
      </c>
    </row>
    <row r="8" spans="1:29" x14ac:dyDescent="0.25">
      <c r="A8" s="2">
        <f>Results!$D$3</f>
        <v>32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0.68298858819929764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5.8516244875712178E-2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3.8152534774594786E-2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2.5258938637152107E-2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6.5684622629469905E-2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8.8956635544155907E-2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3.0316083616340465E-2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2.7028023983981605E-4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9.8560714834369859E-3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7.4019992073943372E-2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7.0603743991696111E-2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6.960374399169611E-2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6.760374399169608E-2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1.343838843534143E-2</v>
      </c>
      <c r="AB8" s="2">
        <f>SUMIFS(PERSALDATA!$G$2:$G$20871,PERSALDATA!$A$2:$A$20871,WORKING!A8,PERSALDATA!$D$2:$D$20871,WORKING!B8,PERSALDATA!$E$2:$E$20871,WORKING!C8,PERSALDATA!$F$2:$F$20871,"S&amp;W: BASIC SALARY (RES)")</f>
        <v>3</v>
      </c>
      <c r="AC8" s="2">
        <f>SUMIFS(PERSALDATA!$H$2:$H$20871,PERSALDATA!$A$2:$A$20871,WORKING!A8,PERSALDATA!$D$2:$D$20871,WORKING!B8,PERSALDATA!$E$2:$E$20871,WORKING!C8)</f>
        <v>1509729.3100000003</v>
      </c>
    </row>
    <row r="9" spans="1:29" x14ac:dyDescent="0.25">
      <c r="A9" s="2">
        <f>Results!$D$3</f>
        <v>32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0.67993901703007298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5.2980155003848325E-2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3.665236155880313E-2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2.4001466881627166E-2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5.1727660993086094E-2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8.8410590785421933E-2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3.1752301602263319E-2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2.2627161849418913E-4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3.1882536380482218E-2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2.4276381459007413E-3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7.3938607775434165E-2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7.0409391299308274E-2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6.9409391299308273E-2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6.7409391299308258E-2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1.3670905587444252E-2</v>
      </c>
      <c r="AB9" s="2">
        <f>SUMIFS(PERSALDATA!$G$2:$G$20871,PERSALDATA!$A$2:$A$20871,WORKING!A9,PERSALDATA!$D$2:$D$20871,WORKING!B9,PERSALDATA!$E$2:$E$20871,WORKING!C9,PERSALDATA!$F$2:$F$20871,"S&amp;W: BASIC SALARY (RES)")</f>
        <v>10</v>
      </c>
      <c r="AC9" s="2">
        <f>SUMIFS(PERSALDATA!$H$2:$H$20871,PERSALDATA!$A$2:$A$20871,WORKING!A9,PERSALDATA!$D$2:$D$20871,WORKING!B9,PERSALDATA!$E$2:$E$20871,WORKING!C9)</f>
        <v>3658700.1299999994</v>
      </c>
    </row>
    <row r="10" spans="1:29" x14ac:dyDescent="0.25">
      <c r="A10" s="2">
        <f>Results!$D$3</f>
        <v>32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0.72461503678272376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6.2004999143872815E-2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3.2943676196806319E-2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9.8737330200697297E-3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3.9136119279897463E-2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9.4235937343176909E-2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2.7402734393492292E-2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1.9164507169365264E-4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4.5013948742743627E-3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3.3034430125723144E-3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1.7912808814204699E-3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7.4044186278961283E-2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7.0257605027230413E-2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6.9257605027230412E-2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6.7257605027230397E-2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1.3915928391774041E-2</v>
      </c>
      <c r="AB10" s="2">
        <f>SUMIFS(PERSALDATA!$G$2:$G$20871,PERSALDATA!$A$2:$A$20871,WORKING!A10,PERSALDATA!$D$2:$D$20871,WORKING!B10,PERSALDATA!$E$2:$E$20871,WORKING!C10,PERSALDATA!$F$2:$F$20871,"S&amp;W: BASIC SALARY (RES)")</f>
        <v>27</v>
      </c>
      <c r="AC10" s="2">
        <f>SUMIFS(PERSALDATA!$H$2:$H$20871,PERSALDATA!$A$2:$A$20871,WORKING!A10,PERSALDATA!$D$2:$D$20871,WORKING!B10,PERSALDATA!$E$2:$E$20871,WORKING!C10)</f>
        <v>9916926.0299999993</v>
      </c>
    </row>
    <row r="11" spans="1:29" x14ac:dyDescent="0.25">
      <c r="A11" s="2">
        <f>Results!$D$3</f>
        <v>32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0.73818669032332929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6.1786567053469375E-2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2.6407691776591947E-2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7.9399305867358869E-3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3.2972253356168553E-2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9.5963786686006011E-2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2.4276302348767473E-2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1.6281252427663166E-4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1.1465976354445228E-2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8.3798899020968087E-4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7.4454626971965379E-2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7.0230506882576635E-2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6.9230506882576606E-2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6.7230506882576604E-2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1.4106858635144442E-2</v>
      </c>
      <c r="AB11" s="2">
        <f>SUMIFS(PERSALDATA!$G$2:$G$20871,PERSALDATA!$A$2:$A$20871,WORKING!A11,PERSALDATA!$D$2:$D$20871,WORKING!B11,PERSALDATA!$E$2:$E$20871,WORKING!C11,PERSALDATA!$F$2:$F$20871,"S&amp;W: BASIC SALARY (RES)")</f>
        <v>24</v>
      </c>
      <c r="AC11" s="2">
        <f>SUMIFS(PERSALDATA!$H$2:$H$20871,PERSALDATA!$A$2:$A$20871,WORKING!A11,PERSALDATA!$D$2:$D$20871,WORKING!B11,PERSALDATA!$E$2:$E$20871,WORKING!C11)</f>
        <v>10599184.6</v>
      </c>
    </row>
    <row r="12" spans="1:29" x14ac:dyDescent="0.25">
      <c r="A12" s="2">
        <f>Results!$D$3</f>
        <v>32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0.73546190833902059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6.1346385104599374E-2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1.8131704917005435E-2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1.6788114243906093E-2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2.1368715664678732E-2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9.5609720146446697E-2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5.1168168218812982E-2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1.2528336553024199E-4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7.4921152445613093E-2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7.0139213685800145E-2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6.9139213685800144E-2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6.7139213685800142E-2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1.4405614440791786E-2</v>
      </c>
      <c r="AB12" s="2">
        <f>SUMIFS(PERSALDATA!$G$2:$G$20871,PERSALDATA!$A$2:$A$20871,WORKING!A12,PERSALDATA!$D$2:$D$20871,WORKING!B12,PERSALDATA!$E$2:$E$20871,WORKING!C12,PERSALDATA!$F$2:$F$20871,"S&amp;W: BASIC SALARY (RES)")</f>
        <v>4</v>
      </c>
      <c r="AC12" s="2">
        <f>SUMIFS(PERSALDATA!$H$2:$H$20871,PERSALDATA!$A$2:$A$20871,WORKING!A12,PERSALDATA!$D$2:$D$20871,WORKING!B12,PERSALDATA!$E$2:$E$20871,WORKING!C12)</f>
        <v>2233656.4699999997</v>
      </c>
    </row>
    <row r="13" spans="1:29" x14ac:dyDescent="0.25">
      <c r="A13" s="2">
        <f>Results!$D$3</f>
        <v>32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0.69175261404792165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3.4403003512846655E-2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6.5174063934292205E-3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8.0107704275755105E-4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2.6085877436830877E-2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8.9927528250692029E-2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1.4944691028862232E-2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1.0800890914796997E-4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0.12892600835136528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6.5337850261462859E-3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1.4509330608908874E-2</v>
      </c>
      <c r="AB13" s="2">
        <f>SUMIFS(PERSALDATA!$G$2:$G$20871,PERSALDATA!$A$2:$A$20871,WORKING!A13,PERSALDATA!$D$2:$D$20871,WORKING!B13,PERSALDATA!$E$2:$E$20871,WORKING!C13,PERSALDATA!$F$2:$F$20871,"S&amp;W: BASIC SALARY (RES)")</f>
        <v>24</v>
      </c>
      <c r="AC13" s="2">
        <f>SUMIFS(PERSALDATA!$H$2:$H$20871,PERSALDATA!$A$2:$A$20871,WORKING!A13,PERSALDATA!$D$2:$D$20871,WORKING!B13,PERSALDATA!$E$2:$E$20871,WORKING!C13)</f>
        <v>16565485.330000006</v>
      </c>
    </row>
    <row r="14" spans="1:29" x14ac:dyDescent="0.25">
      <c r="A14" s="2">
        <f>Results!$D$3</f>
        <v>32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0.68393374862140321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5.7501133429093659E-2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6.9998415374616166E-3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6.7683531716040586E-3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1.3385163603910373E-2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8.8911123524959085E-2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2.0456120278054227E-2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8.9064441399283375E-5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0.12195545139211447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1.4692888956258431E-2</v>
      </c>
      <c r="AB14" s="2">
        <f>SUMIFS(PERSALDATA!$G$2:$G$20871,PERSALDATA!$A$2:$A$20871,WORKING!A14,PERSALDATA!$D$2:$D$20871,WORKING!B14,PERSALDATA!$E$2:$E$20871,WORKING!C14,PERSALDATA!$F$2:$F$20871,"S&amp;W: BASIC SALARY (RES)")</f>
        <v>5</v>
      </c>
      <c r="AC14" s="2">
        <f>SUMIFS(PERSALDATA!$H$2:$H$20871,PERSALDATA!$A$2:$A$20871,WORKING!A14,PERSALDATA!$D$2:$D$20871,WORKING!B14,PERSALDATA!$E$2:$E$20871,WORKING!C14)</f>
        <v>4647533.78</v>
      </c>
    </row>
    <row r="15" spans="1:29" x14ac:dyDescent="0.25">
      <c r="A15" s="2">
        <f>Results!$D$3</f>
        <v>32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0.63558463814511357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3.6514508661901562E-2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4.0039721440971945E-4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1.3401831480188061E-2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8.2625797148065713E-2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2.1412948002163239E-3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7.7595759693075732E-5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0.21580620546106516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1.3447731329346471E-2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1.4791802633185632E-2</v>
      </c>
      <c r="AB15" s="2">
        <f>SUMIFS(PERSALDATA!$G$2:$G$20871,PERSALDATA!$A$2:$A$20871,WORKING!A15,PERSALDATA!$D$2:$D$20871,WORKING!B15,PERSALDATA!$E$2:$E$20871,WORKING!C15,PERSALDATA!$F$2:$F$20871,"S&amp;W: BASIC SALARY (RES)")</f>
        <v>22</v>
      </c>
      <c r="AC15" s="2">
        <f>SUMIFS(PERSALDATA!$H$2:$H$20871,PERSALDATA!$A$2:$A$20871,WORKING!A15,PERSALDATA!$D$2:$D$20871,WORKING!B15,PERSALDATA!$E$2:$E$20871,WORKING!C15)</f>
        <v>20811833.100000009</v>
      </c>
    </row>
    <row r="16" spans="1:29" x14ac:dyDescent="0.25">
      <c r="A16" s="2">
        <f>Results!$D$3</f>
        <v>32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0.60144589754248634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5.7001913820520361E-2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3.8849363225796373E-2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8.1896763095278442E-3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7.8403843432616319E-2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6.3563778704810582E-5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0.20687399371169674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9.1717481786508393E-3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1.4293460950289558E-2</v>
      </c>
      <c r="AB16" s="2">
        <f>SUMIFS(PERSALDATA!$G$2:$G$20871,PERSALDATA!$A$2:$A$20871,WORKING!A16,PERSALDATA!$D$2:$D$20871,WORKING!B16,PERSALDATA!$E$2:$E$20871,WORKING!C16,PERSALDATA!$F$2:$F$20871,"S&amp;W: BASIC SALARY (RES)")</f>
        <v>6</v>
      </c>
      <c r="AC16" s="2">
        <f>SUMIFS(PERSALDATA!$H$2:$H$20871,PERSALDATA!$A$2:$A$20871,WORKING!A16,PERSALDATA!$D$2:$D$20871,WORKING!B16,PERSALDATA!$E$2:$E$20871,WORKING!C16)</f>
        <v>7703601.1700000018</v>
      </c>
    </row>
    <row r="17" spans="1:29" x14ac:dyDescent="0.25">
      <c r="A17" s="2">
        <f>Results!$D$3</f>
        <v>32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0.62407061939079911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6.6489732003405938E-2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1.6990553975319466E-2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8.1129033392456057E-2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5.3834200910930701E-5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0.21126622703710859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1.4744334177356546E-2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649772.80999999994</v>
      </c>
    </row>
    <row r="18" spans="1:29" x14ac:dyDescent="0.25">
      <c r="A18" s="2">
        <f>Results!$D$3</f>
        <v>32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0.63377384916543567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2.9473301868875599E-3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7.3863132858990016E-2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2.2219312486492857E-5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0.28939346847620001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1.4955456757509384E-2</v>
      </c>
      <c r="AB18" s="2">
        <f>SUMIFS(PERSALDATA!$G$2:$G$20871,PERSALDATA!$A$2:$A$20871,WORKING!A18,PERSALDATA!$D$2:$D$20871,WORKING!B18,PERSALDATA!$E$2:$E$20871,WORKING!C18,PERSALDATA!$F$2:$F$20871,"S&amp;W: BASIC SALARY (RES)")</f>
        <v>5</v>
      </c>
      <c r="AC18" s="2">
        <f>SUMIFS(PERSALDATA!$H$2:$H$20871,PERSALDATA!$A$2:$A$20871,WORKING!A18,PERSALDATA!$D$2:$D$20871,WORKING!B18,PERSALDATA!$E$2:$E$20871,WORKING!C18)</f>
        <v>9445836.8200000022</v>
      </c>
    </row>
    <row r="19" spans="1:29" x14ac:dyDescent="0.25">
      <c r="A19" s="2">
        <f>Results!$D$3</f>
        <v>32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32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32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32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32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32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32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0.67149432197296899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5.6166065264408968E-2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4.9311734209314284E-2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6.1011399740605668E-2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8.7293640893907037E-2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7.4467293553959146E-2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2.5554436483582422E-4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7.3106467796460586E-2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7.0422053654015951E-2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6.9422053654015936E-2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6.7422053654015934E-2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1.3341319825278662E-2</v>
      </c>
      <c r="AB25" s="2">
        <f>SUMIFS(PERSALDATA!$G$2:$G$20871,PERSALDATA!$A$2:$A$20871,WORKING!A25,PERSALDATA!$D$2:$D$20871,WORKING!B25,PERSALDATA!$E$2:$E$20871,WORKING!C25,PERSALDATA!$F$2:$F$20871,"S&amp;W: BASIC SALARY (RES)")</f>
        <v>1</v>
      </c>
      <c r="AC25" s="2">
        <f>SUMIFS(PERSALDATA!$H$2:$H$20871,PERSALDATA!$A$2:$A$20871,WORKING!A25,PERSALDATA!$D$2:$D$20871,WORKING!B25,PERSALDATA!$E$2:$E$20871,WORKING!C25)</f>
        <v>273768.51</v>
      </c>
    </row>
    <row r="26" spans="1:29" x14ac:dyDescent="0.25">
      <c r="A26" s="2">
        <f>Results!$D$3</f>
        <v>32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0.69117464456805744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9.9273470694354909E-2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4.1543656093306132E-2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9.8606175718356191E-3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6.8076781446787832E-2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8.9852321534511892E-2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2.1850809114631989E-4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7.3795757077163779E-2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7.0605715160768773E-2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6.9605715160768772E-2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6.760571516076877E-2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1.3352415815531397E-2</v>
      </c>
      <c r="AB26" s="2">
        <f>SUMIFS(PERSALDATA!$G$2:$G$20871,PERSALDATA!$A$2:$A$20871,WORKING!A26,PERSALDATA!$D$2:$D$20871,WORKING!B26,PERSALDATA!$E$2:$E$20871,WORKING!C26,PERSALDATA!$F$2:$F$20871,"S&amp;W: BASIC SALARY (RES)")</f>
        <v>1</v>
      </c>
      <c r="AC26" s="2">
        <f>SUMIFS(PERSALDATA!$H$2:$H$20871,PERSALDATA!$A$2:$A$20871,WORKING!A26,PERSALDATA!$D$2:$D$20871,WORKING!B26,PERSALDATA!$E$2:$E$20871,WORKING!C26)</f>
        <v>346623.31999999995</v>
      </c>
    </row>
    <row r="27" spans="1:29" x14ac:dyDescent="0.25">
      <c r="A27" s="2">
        <f>Results!$D$3</f>
        <v>32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0.69689249588779301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5.7205771282729738E-2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3.136428957032824E-2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3.676471333672954E-3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6.2525820096969498E-2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9.059554132862932E-2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5.1930804674609747E-2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1.8097511893085149E-4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5.6278307063364732E-3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7.4491675474012614E-2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7.0624244405751269E-2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6.962424440575124E-2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6.7624244405751238E-2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1.3588933728206565E-2</v>
      </c>
      <c r="AB27" s="2">
        <f>SUMIFS(PERSALDATA!$G$2:$G$20871,PERSALDATA!$A$2:$A$20871,WORKING!A27,PERSALDATA!$D$2:$D$20871,WORKING!B27,PERSALDATA!$E$2:$E$20871,WORKING!C27,PERSALDATA!$F$2:$F$20871,"S&amp;W: BASIC SALARY (RES)")</f>
        <v>4</v>
      </c>
      <c r="AC27" s="2">
        <f>SUMIFS(PERSALDATA!$H$2:$H$20871,PERSALDATA!$A$2:$A$20871,WORKING!A27,PERSALDATA!$D$2:$D$20871,WORKING!B27,PERSALDATA!$E$2:$E$20871,WORKING!C27)</f>
        <v>1578228.0000000002</v>
      </c>
    </row>
    <row r="28" spans="1:29" x14ac:dyDescent="0.25">
      <c r="A28" s="2">
        <f>Results!$D$3</f>
        <v>32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0.81554305108404734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0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2.7437934122739635E-2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5.0821151314007745E-2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0.10602012663927683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1.7773683992841342E-4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7.4626213125067897E-2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7.0487937928482722E-2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6.9487937928482721E-2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6.7487937928482719E-2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1.3823447665849862E-2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196807.82</v>
      </c>
    </row>
    <row r="29" spans="1:29" x14ac:dyDescent="0.25">
      <c r="A29" s="2">
        <f>Results!$D$3</f>
        <v>32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0.68428045584032215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7.4402668826131613E-2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2.6662092965657309E-2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2.6963275867676771E-3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3.7520724068383575E-2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8.8955913056642924E-2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8.5352284321103172E-2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1.2953333499148508E-4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7.4498971071567402E-2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7.0296189931369185E-2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6.9296189931369184E-2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6.7296189931369182E-2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1.4035314744464514E-2</v>
      </c>
      <c r="AB29" s="2">
        <f>SUMIFS(PERSALDATA!$G$2:$G$20871,PERSALDATA!$A$2:$A$20871,WORKING!A29,PERSALDATA!$D$2:$D$20871,WORKING!B29,PERSALDATA!$E$2:$E$20871,WORKING!C29,PERSALDATA!$F$2:$F$20871,"S&amp;W: BASIC SALARY (RES)")</f>
        <v>2</v>
      </c>
      <c r="AC29" s="2">
        <f>SUMIFS(PERSALDATA!$H$2:$H$20871,PERSALDATA!$A$2:$A$20871,WORKING!A29,PERSALDATA!$D$2:$D$20871,WORKING!B29,PERSALDATA!$E$2:$E$20871,WORKING!C29)</f>
        <v>810138.95000000007</v>
      </c>
    </row>
    <row r="30" spans="1:29" x14ac:dyDescent="0.25">
      <c r="A30" s="2">
        <f>Results!$D$3</f>
        <v>32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32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32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0.62223486856755628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2.5609687834815598E-2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3.9960267556334327E-2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1.1412626695493713E-2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8.0890316368567361E-2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7.6518179266828963E-5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0.21743620892215909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2.3795058758069288E-3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1.4228258813533578E-2</v>
      </c>
      <c r="AB32" s="2">
        <f>SUMIFS(PERSALDATA!$G$2:$G$20871,PERSALDATA!$A$2:$A$20871,WORKING!A32,PERSALDATA!$D$2:$D$20871,WORKING!B32,PERSALDATA!$E$2:$E$20871,WORKING!C32,PERSALDATA!$F$2:$F$20871,"S&amp;W: BASIC SALARY (RES)")</f>
        <v>4</v>
      </c>
      <c r="AC32" s="2">
        <f>SUMIFS(PERSALDATA!$H$2:$H$20871,PERSALDATA!$A$2:$A$20871,WORKING!A32,PERSALDATA!$D$2:$D$20871,WORKING!B32,PERSALDATA!$E$2:$E$20871,WORKING!C32)</f>
        <v>3732707.7399999993</v>
      </c>
    </row>
    <row r="33" spans="1:29" x14ac:dyDescent="0.25">
      <c r="A33" s="2">
        <f>Results!$D$3</f>
        <v>32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0.57312038692741574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4.6511071269769458E-2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1.2102592223826895E-2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7.4505556456158861E-2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6.2561002852121479E-5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0.24771194721199705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4.598588490797989E-2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1.4817522701599814E-2</v>
      </c>
      <c r="AB33" s="2">
        <f>SUMIFS(PERSALDATA!$G$2:$G$20871,PERSALDATA!$A$2:$A$20871,WORKING!A33,PERSALDATA!$D$2:$D$20871,WORKING!B33,PERSALDATA!$E$2:$E$20871,WORKING!C33,PERSALDATA!$F$2:$F$20871,"S&amp;W: BASIC SALARY (RES)")</f>
        <v>3</v>
      </c>
      <c r="AC33" s="2">
        <f>SUMIFS(PERSALDATA!$H$2:$H$20871,PERSALDATA!$A$2:$A$20871,WORKING!A33,PERSALDATA!$D$2:$D$20871,WORKING!B33,PERSALDATA!$E$2:$E$20871,WORKING!C33)</f>
        <v>3447195.38</v>
      </c>
    </row>
    <row r="34" spans="1:29" x14ac:dyDescent="0.25">
      <c r="A34" s="2">
        <f>Results!$D$3</f>
        <v>32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32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32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32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1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1622781.93</v>
      </c>
    </row>
    <row r="38" spans="1:29" x14ac:dyDescent="0.25">
      <c r="A38" s="2">
        <f>Results!$D$3</f>
        <v>32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32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32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32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0.66079279275244962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6.0238304021551253E-2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6.4118039070886867E-2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9.0016298873381584E-2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8.5902244619885867E-2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1.3365863230319731E-2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3.2634046393777578E-4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2.5240116967587208E-2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7.238725721483992E-2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7.0709064092391846E-2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6.9709064092391859E-2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6.7709064092391857E-2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1.2683089823876906E-2</v>
      </c>
      <c r="AB41" s="2">
        <f>SUMIFS(PERSALDATA!$G$2:$G$20871,PERSALDATA!$A$2:$A$20871,WORKING!A41,PERSALDATA!$D$2:$D$20871,WORKING!B41,PERSALDATA!$E$2:$E$20871,WORKING!C41,PERSALDATA!$F$2:$F$20871,"S&amp;W: BASIC SALARY (RES)")</f>
        <v>3</v>
      </c>
      <c r="AC41" s="2">
        <f>SUMIFS(PERSALDATA!$H$2:$H$20871,PERSALDATA!$A$2:$A$20871,WORKING!A41,PERSALDATA!$D$2:$D$20871,WORKING!B41,PERSALDATA!$E$2:$E$20871,WORKING!C41)</f>
        <v>589537.68000000005</v>
      </c>
    </row>
    <row r="42" spans="1:29" x14ac:dyDescent="0.25">
      <c r="A42" s="2">
        <f>Results!$D$3</f>
        <v>32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0.70803328328965121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5.4564569355873727E-2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6.30921569426382E-2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3.1737814675361149E-3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6.374521611099182E-2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9.2043512041027481E-2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1.5067846021832275E-2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2.7963477044927189E-4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7.2097429097913376E-2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7.0325256672238504E-2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6.9325256672238517E-2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6.7325256672238501E-2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1.3093244882638811E-2</v>
      </c>
      <c r="AB42" s="2">
        <f>SUMIFS(PERSALDATA!$G$2:$G$20871,PERSALDATA!$A$2:$A$20871,WORKING!A42,PERSALDATA!$D$2:$D$20871,WORKING!B42,PERSALDATA!$E$2:$E$20871,WORKING!C42,PERSALDATA!$F$2:$F$20871,"S&amp;W: BASIC SALARY (RES)")</f>
        <v>6</v>
      </c>
      <c r="AC42" s="2">
        <f>SUMIFS(PERSALDATA!$H$2:$H$20871,PERSALDATA!$A$2:$A$20871,WORKING!A42,PERSALDATA!$D$2:$D$20871,WORKING!B42,PERSALDATA!$E$2:$E$20871,WORKING!C42)</f>
        <v>813096.30999999994</v>
      </c>
    </row>
    <row r="43" spans="1:29" x14ac:dyDescent="0.25">
      <c r="A43" s="2">
        <f>Results!$D$3</f>
        <v>32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0.7487203110190993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5.8837658421502854E-2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3.687596976278034E-2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1.7516085637320663E-5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3.8852931475062732E-2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9.7333053041818718E-2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1.9123685856635372E-2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2.3887433746334379E-4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7.3741367338679559E-2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7.0214034274498155E-2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6.921403427449814E-2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6.7214034274498138E-2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1.3860483366370404E-2</v>
      </c>
      <c r="AB43" s="2">
        <f>SUMIFS(PERSALDATA!$G$2:$G$20871,PERSALDATA!$A$2:$A$20871,WORKING!A43,PERSALDATA!$D$2:$D$20871,WORKING!B43,PERSALDATA!$E$2:$E$20871,WORKING!C43,PERSALDATA!$F$2:$F$20871,"S&amp;W: BASIC SALARY (RES)")</f>
        <v>9</v>
      </c>
      <c r="AC43" s="2">
        <f>SUMIFS(PERSALDATA!$H$2:$H$20871,PERSALDATA!$A$2:$A$20871,WORKING!A43,PERSALDATA!$D$2:$D$20871,WORKING!B43,PERSALDATA!$E$2:$E$20871,WORKING!C43)</f>
        <v>1561992.82</v>
      </c>
    </row>
    <row r="44" spans="1:29" x14ac:dyDescent="0.25">
      <c r="A44" s="2">
        <f>Results!$D$3</f>
        <v>32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0.71011246770931435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6.9129640155318597E-2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3.59985846001286E-2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6.6409687397496944E-3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3.5436218651648976E-2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9.2314028885185473E-2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5.0178093952888629E-2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1.8999730576563397E-4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7.3760214631513291E-2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7.0171557433773429E-2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6.9171557433773456E-2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6.7171557433773454E-2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1.3925627991636852E-2</v>
      </c>
      <c r="AB44" s="2">
        <f>SUMIFS(PERSALDATA!$G$2:$G$20871,PERSALDATA!$A$2:$A$20871,WORKING!A44,PERSALDATA!$D$2:$D$20871,WORKING!B44,PERSALDATA!$E$2:$E$20871,WORKING!C44,PERSALDATA!$F$2:$F$20871,"S&amp;W: BASIC SALARY (RES)")</f>
        <v>7</v>
      </c>
      <c r="AC44" s="2">
        <f>SUMIFS(PERSALDATA!$H$2:$H$20871,PERSALDATA!$A$2:$A$20871,WORKING!A44,PERSALDATA!$D$2:$D$20871,WORKING!B44,PERSALDATA!$E$2:$E$20871,WORKING!C44)</f>
        <v>2791776.43</v>
      </c>
    </row>
    <row r="45" spans="1:29" x14ac:dyDescent="0.25">
      <c r="A45" s="2">
        <f>Results!$D$3</f>
        <v>32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0.7280028130675994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6.9184239517895596E-2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2.995378934618597E-2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6.8914701638763494E-3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4.1493394241836998E-2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9.4639884958958934E-2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2.9667370103058133E-2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1.6703860058854566E-4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7.4304419529075558E-2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7.0322863020165702E-2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6.9322863020165701E-2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6.7322863020165685E-2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1.3925786667170826E-2</v>
      </c>
      <c r="AB45" s="2">
        <f>SUMIFS(PERSALDATA!$G$2:$G$20871,PERSALDATA!$A$2:$A$20871,WORKING!A45,PERSALDATA!$D$2:$D$20871,WORKING!B45,PERSALDATA!$E$2:$E$20871,WORKING!C45,PERSALDATA!$F$2:$F$20871,"S&amp;W: BASIC SALARY (RES)")</f>
        <v>2</v>
      </c>
      <c r="AC45" s="2">
        <f>SUMIFS(PERSALDATA!$H$2:$H$20871,PERSALDATA!$A$2:$A$20871,WORKING!A45,PERSALDATA!$D$2:$D$20871,WORKING!B45,PERSALDATA!$E$2:$E$20871,WORKING!C45)</f>
        <v>1081666.1500000001</v>
      </c>
    </row>
    <row r="46" spans="1:29" x14ac:dyDescent="0.25">
      <c r="A46" s="2">
        <f>Results!$D$3</f>
        <v>32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0.75842677342919174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5.5028846317852237E-2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2.7497841903327061E-2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3.1928245229830378E-2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9.8595037904551028E-2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2.8383853112381095E-2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1.3940210286643196E-4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7.4357159448564747E-2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7.0203945259414188E-2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6.9203945259414187E-2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6.7203945259414186E-2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1.4106517661459643E-2</v>
      </c>
      <c r="AB46" s="2">
        <f>SUMIFS(PERSALDATA!$G$2:$G$20871,PERSALDATA!$A$2:$A$20871,WORKING!A46,PERSALDATA!$D$2:$D$20871,WORKING!B46,PERSALDATA!$E$2:$E$20871,WORKING!C46,PERSALDATA!$F$2:$F$20871,"S&amp;W: BASIC SALARY (RES)")</f>
        <v>4</v>
      </c>
      <c r="AC46" s="2">
        <f>SUMIFS(PERSALDATA!$H$2:$H$20871,PERSALDATA!$A$2:$A$20871,WORKING!A46,PERSALDATA!$D$2:$D$20871,WORKING!B46,PERSALDATA!$E$2:$E$20871,WORKING!C46)</f>
        <v>1756501.48</v>
      </c>
    </row>
    <row r="47" spans="1:29" x14ac:dyDescent="0.25">
      <c r="A47" s="2">
        <f>Results!$D$3</f>
        <v>32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0.71288229673768533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5.365209301422786E-2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7.835975129170095E-3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1.468127975997869E-3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2.6290849204162609E-2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9.2674368710851204E-2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1.0964585149436563E-4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0.10508664337641101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1.4486452947227601E-2</v>
      </c>
      <c r="AB47" s="2">
        <f>SUMIFS(PERSALDATA!$G$2:$G$20871,PERSALDATA!$A$2:$A$20871,WORKING!A47,PERSALDATA!$D$2:$D$20871,WORKING!B47,PERSALDATA!$E$2:$E$20871,WORKING!C47,PERSALDATA!$F$2:$F$20871,"S&amp;W: BASIC SALARY (RES)")</f>
        <v>2</v>
      </c>
      <c r="AC47" s="2">
        <f>SUMIFS(PERSALDATA!$H$2:$H$20871,PERSALDATA!$A$2:$A$20871,WORKING!A47,PERSALDATA!$D$2:$D$20871,WORKING!B47,PERSALDATA!$E$2:$E$20871,WORKING!C47)</f>
        <v>1487881.1899999995</v>
      </c>
    </row>
    <row r="48" spans="1:29" x14ac:dyDescent="0.25">
      <c r="A48" s="2">
        <f>Results!$D$3</f>
        <v>32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0.68693176475919859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3.6237289393593088E-2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1.0989504090895436E-2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3.1473506314443035E-4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2.0975613666254427E-2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8.9300892939951998E-2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4.193346188969356E-2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9.4635682997972216E-5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0.11151577471664537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1.7063277976248736E-3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1.4519103698397777E-2</v>
      </c>
      <c r="AB48" s="2">
        <f>SUMIFS(PERSALDATA!$G$2:$G$20871,PERSALDATA!$A$2:$A$20871,WORKING!A48,PERSALDATA!$D$2:$D$20871,WORKING!B48,PERSALDATA!$E$2:$E$20871,WORKING!C48,PERSALDATA!$F$2:$F$20871,"S&amp;W: BASIC SALARY (RES)")</f>
        <v>16</v>
      </c>
      <c r="AC48" s="2">
        <f>SUMIFS(PERSALDATA!$H$2:$H$20871,PERSALDATA!$A$2:$A$20871,WORKING!A48,PERSALDATA!$D$2:$D$20871,WORKING!B48,PERSALDATA!$E$2:$E$20871,WORKING!C48)</f>
        <v>10410660.850000003</v>
      </c>
    </row>
    <row r="49" spans="1:29" x14ac:dyDescent="0.25">
      <c r="A49" s="2">
        <f>Results!$D$3</f>
        <v>32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0.62202217455648301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3.8105553396648353E-2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1.2663918477469963E-2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1.4674670397031698E-2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8.0862675162790193E-2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7.6825534927816802E-5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0.22544920040702612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3.9266170230459379E-3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2.2183650445769102E-3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1.4588768783858558E-2</v>
      </c>
      <c r="AB49" s="2">
        <f>SUMIFS(PERSALDATA!$G$2:$G$20871,PERSALDATA!$A$2:$A$20871,WORKING!A49,PERSALDATA!$D$2:$D$20871,WORKING!B49,PERSALDATA!$E$2:$E$20871,WORKING!C49,PERSALDATA!$F$2:$F$20871,"S&amp;W: BASIC SALARY (RES)")</f>
        <v>17</v>
      </c>
      <c r="AC49" s="2">
        <f>SUMIFS(PERSALDATA!$H$2:$H$20871,PERSALDATA!$A$2:$A$20871,WORKING!A49,PERSALDATA!$D$2:$D$20871,WORKING!B49,PERSALDATA!$E$2:$E$20871,WORKING!C49)</f>
        <v>15555374.929999998</v>
      </c>
    </row>
    <row r="50" spans="1:29" x14ac:dyDescent="0.25">
      <c r="A50" s="2">
        <f>Results!$D$3</f>
        <v>32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0.58327997137759247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6.1310269958158935E-2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1.345845065297086E-2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1.7627365962379214E-2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7.5792439262244521E-2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6.2575386750289268E-5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0.20324884082765074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4.5220086572252884E-2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1.4532774119968492E-2</v>
      </c>
      <c r="AB50" s="2">
        <f>SUMIFS(PERSALDATA!$G$2:$G$20871,PERSALDATA!$A$2:$A$20871,WORKING!A50,PERSALDATA!$D$2:$D$20871,WORKING!B50,PERSALDATA!$E$2:$E$20871,WORKING!C50,PERSALDATA!$F$2:$F$20871,"S&amp;W: BASIC SALARY (RES)")</f>
        <v>8</v>
      </c>
      <c r="AC50" s="2">
        <f>SUMIFS(PERSALDATA!$H$2:$H$20871,PERSALDATA!$A$2:$A$20871,WORKING!A50,PERSALDATA!$D$2:$D$20871,WORKING!B50,PERSALDATA!$E$2:$E$20871,WORKING!C50)</f>
        <v>6241431.6600000001</v>
      </c>
    </row>
    <row r="51" spans="1:29" x14ac:dyDescent="0.25">
      <c r="A51" s="2">
        <f>Results!$D$3</f>
        <v>32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0.52000131489602563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0.17145482287768418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2.1458372640392256E-2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6.7600008857285732E-2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6.6543783241216421E-5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0.21941893694537096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1.4677126253645497E-2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350445.96</v>
      </c>
    </row>
    <row r="52" spans="1:29" x14ac:dyDescent="0.25">
      <c r="A52" s="2">
        <f>Results!$D$3</f>
        <v>32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32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32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32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32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32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32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32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0.65784942305631444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5.5023855250664659E-2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4.4430846614423418E-2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9.3447395422631779E-2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8.5519615917089314E-2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5.8097445915637737E-2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2.5583391186379114E-4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5.3755839113746855E-3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7.3931519193220649E-2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7.0957402465195246E-2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6.9957402465195231E-2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6.795740246519523E-2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1.2927988860766211E-2</v>
      </c>
      <c r="AB59" s="2">
        <f>SUMIFS(PERSALDATA!$G$2:$G$20871,PERSALDATA!$A$2:$A$20871,WORKING!A59,PERSALDATA!$D$2:$D$20871,WORKING!B59,PERSALDATA!$E$2:$E$20871,WORKING!C59,PERSALDATA!$F$2:$F$20871,"S&amp;W: BASIC SALARY (RES)")</f>
        <v>2</v>
      </c>
      <c r="AC59" s="2">
        <f>SUMIFS(PERSALDATA!$H$2:$H$20871,PERSALDATA!$A$2:$A$20871,WORKING!A59,PERSALDATA!$D$2:$D$20871,WORKING!B59,PERSALDATA!$E$2:$E$20871,WORKING!C59)</f>
        <v>546917.33000000007</v>
      </c>
    </row>
    <row r="60" spans="1:29" x14ac:dyDescent="0.25">
      <c r="A60" s="2">
        <f>Results!$D$3</f>
        <v>32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0.74186537022844068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5.9336146337003563E-2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2.4953543087733399E-2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3.948161717535735E-2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9.6441804975722634E-2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3.7669036860472745E-2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2.5248133526963582E-4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7.4656273365787257E-2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7.0342688826753028E-2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6.9342688826753054E-2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6.7342688826753025E-2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1.4029685376024593E-2</v>
      </c>
      <c r="AB60" s="2">
        <f>SUMIFS(PERSALDATA!$G$2:$G$20871,PERSALDATA!$A$2:$A$20871,WORKING!A60,PERSALDATA!$D$2:$D$20871,WORKING!B60,PERSALDATA!$E$2:$E$20871,WORKING!C60,PERSALDATA!$F$2:$F$20871,"S&amp;W: BASIC SALARY (RES)")</f>
        <v>2</v>
      </c>
      <c r="AC60" s="2">
        <f>SUMIFS(PERSALDATA!$H$2:$H$20871,PERSALDATA!$A$2:$A$20871,WORKING!A60,PERSALDATA!$D$2:$D$20871,WORKING!B60,PERSALDATA!$E$2:$E$20871,WORKING!C60)</f>
        <v>577072.36</v>
      </c>
    </row>
    <row r="61" spans="1:29" x14ac:dyDescent="0.25">
      <c r="A61" s="2">
        <f>Results!$D$3</f>
        <v>32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0.7391210059529747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5.0594466609666058E-2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3.5343476148017534E-2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2.4509298189755399E-3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4.5010758385837193E-2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9.608521184189564E-2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3.1204452147003417E-2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1.8969909563001027E-4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7.3944046430152385E-2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7.0321726614307398E-2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6.9321726614307397E-2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6.7321726614307395E-2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1.379184099555773E-2</v>
      </c>
      <c r="AB61" s="2">
        <f>SUMIFS(PERSALDATA!$G$2:$G$20871,PERSALDATA!$A$2:$A$20871,WORKING!A61,PERSALDATA!$D$2:$D$20871,WORKING!B61,PERSALDATA!$E$2:$E$20871,WORKING!C61,PERSALDATA!$F$2:$F$20871,"S&amp;W: BASIC SALARY (RES)")</f>
        <v>2</v>
      </c>
      <c r="AC61" s="2">
        <f>SUMIFS(PERSALDATA!$H$2:$H$20871,PERSALDATA!$A$2:$A$20871,WORKING!A61,PERSALDATA!$D$2:$D$20871,WORKING!B61,PERSALDATA!$E$2:$E$20871,WORKING!C61)</f>
        <v>891253.59</v>
      </c>
    </row>
    <row r="62" spans="1:29" x14ac:dyDescent="0.25">
      <c r="A62" s="2">
        <f>Results!$D$3</f>
        <v>32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0.78944874318366676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6.0423115821591988E-2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0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4.7317339847555151E-2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0.10262783972035042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0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1.8296142683551418E-4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7.6662442757865754E-2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7.070976009771332E-2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6.9709760097713319E-2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6.7709760097713317E-2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1.4287495480884135E-2</v>
      </c>
      <c r="AB62" s="2">
        <f>SUMIFS(PERSALDATA!$G$2:$G$20871,PERSALDATA!$A$2:$A$20871,WORKING!A62,PERSALDATA!$D$2:$D$20871,WORKING!B62,PERSALDATA!$E$2:$E$20871,WORKING!C62,PERSALDATA!$F$2:$F$20871,"S&amp;W: BASIC SALARY (RES)")</f>
        <v>1</v>
      </c>
      <c r="AC62" s="2">
        <f>SUMIFS(PERSALDATA!$H$2:$H$20871,PERSALDATA!$A$2:$A$20871,WORKING!A62,PERSALDATA!$D$2:$D$20871,WORKING!B62,PERSALDATA!$E$2:$E$20871,WORKING!C62)</f>
        <v>382375.68000000005</v>
      </c>
    </row>
    <row r="63" spans="1:29" x14ac:dyDescent="0.25">
      <c r="A63" s="2">
        <f>Results!$D$3</f>
        <v>32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32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0.7217271165742859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4.938122500943723E-2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0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9.2565996644772986E-3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9.3824145076584348E-2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0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1.2131623640149592E-4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0.12568959743881386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1.4859331261486818E-2</v>
      </c>
      <c r="AB64" s="2">
        <f>SUMIFS(PERSALDATA!$G$2:$G$20871,PERSALDATA!$A$2:$A$20871,WORKING!A64,PERSALDATA!$D$2:$D$20871,WORKING!B64,PERSALDATA!$E$2:$E$20871,WORKING!C64,PERSALDATA!$F$2:$F$20871,"S&amp;W: BASIC SALARY (RES)")</f>
        <v>3</v>
      </c>
      <c r="AC64" s="2">
        <f>SUMIFS(PERSALDATA!$H$2:$H$20871,PERSALDATA!$A$2:$A$20871,WORKING!A64,PERSALDATA!$D$2:$D$20871,WORKING!B64,PERSALDATA!$E$2:$E$20871,WORKING!C64)</f>
        <v>2066417.5499999998</v>
      </c>
    </row>
    <row r="65" spans="1:29" x14ac:dyDescent="0.25">
      <c r="A65" s="2">
        <f>Results!$D$3</f>
        <v>32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0.66801406568979171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4.5644278461957281E-2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1.344736599225943E-2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8.684158254561572E-2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6.2640097136816397E-2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9.4589467942966221E-5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0.12331802070561658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1.4796870668096965E-2</v>
      </c>
      <c r="AB65" s="2">
        <f>SUMIFS(PERSALDATA!$G$2:$G$20871,PERSALDATA!$A$2:$A$20871,WORKING!A65,PERSALDATA!$D$2:$D$20871,WORKING!B65,PERSALDATA!$E$2:$E$20871,WORKING!C65,PERSALDATA!$F$2:$F$20871,"S&amp;W: BASIC SALARY (RES)")</f>
        <v>3</v>
      </c>
      <c r="AC65" s="2">
        <f>SUMIFS(PERSALDATA!$H$2:$H$20871,PERSALDATA!$A$2:$A$20871,WORKING!A65,PERSALDATA!$D$2:$D$20871,WORKING!B65,PERSALDATA!$E$2:$E$20871,WORKING!C65)</f>
        <v>1725244.93</v>
      </c>
    </row>
    <row r="66" spans="1:29" x14ac:dyDescent="0.25">
      <c r="A66" s="2">
        <f>Results!$D$3</f>
        <v>32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0.64507632349633404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3.3597704525698137E-2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0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1.2923451569830524E-2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8.4041035309545292E-2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3.9442335498153991E-3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8.0071229576668507E-5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0.22033718031919985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1.480494715800889E-2</v>
      </c>
      <c r="AB66" s="2">
        <f>SUMIFS(PERSALDATA!$G$2:$G$20871,PERSALDATA!$A$2:$A$20871,WORKING!A66,PERSALDATA!$D$2:$D$20871,WORKING!B66,PERSALDATA!$E$2:$E$20871,WORKING!C66,PERSALDATA!$F$2:$F$20871,"S&amp;W: BASIC SALARY (RES)")</f>
        <v>5</v>
      </c>
      <c r="AC66" s="2">
        <f>SUMIFS(PERSALDATA!$H$2:$H$20871,PERSALDATA!$A$2:$A$20871,WORKING!A66,PERSALDATA!$D$2:$D$20871,WORKING!B66,PERSALDATA!$E$2:$E$20871,WORKING!C66)</f>
        <v>5168897.7700000005</v>
      </c>
    </row>
    <row r="67" spans="1:29" x14ac:dyDescent="0.25">
      <c r="A67" s="2">
        <f>Results!$D$3</f>
        <v>32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0.61717614867801407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3.0383837469444491E-2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1.4132678917062137E-2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8.0232764401262729E-2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6.4843305422201109E-5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0.25233491784774575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5.674809381048725E-3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1.4787037166662737E-2</v>
      </c>
      <c r="AB67" s="2">
        <f>SUMIFS(PERSALDATA!$G$2:$G$20871,PERSALDATA!$A$2:$A$20871,WORKING!A67,PERSALDATA!$D$2:$D$20871,WORKING!B67,PERSALDATA!$E$2:$E$20871,WORKING!C67,PERSALDATA!$F$2:$F$20871,"S&amp;W: BASIC SALARY (RES)")</f>
        <v>7</v>
      </c>
      <c r="AC67" s="2">
        <f>SUMIFS(PERSALDATA!$H$2:$H$20871,PERSALDATA!$A$2:$A$20871,WORKING!A67,PERSALDATA!$D$2:$D$20871,WORKING!B67,PERSALDATA!$E$2:$E$20871,WORKING!C67)</f>
        <v>5484452.0599999996</v>
      </c>
    </row>
    <row r="68" spans="1:29" x14ac:dyDescent="0.25">
      <c r="A68" s="2">
        <f>Results!$D$3</f>
        <v>32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0.5484215462451989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0.13012117119233518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9.59091797949949E-2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2.1689083304750664E-2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7.1294647826047344E-2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5.4503170545989816E-5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0.13250986846612692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1.3235208505945624E-2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748763.78</v>
      </c>
    </row>
    <row r="69" spans="1:29" x14ac:dyDescent="0.25">
      <c r="A69" s="2">
        <f>Results!$D$3</f>
        <v>32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32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32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32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32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32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0.729570420950586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0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0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0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0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0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0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4.8894626159132551E-4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0.26994063278782271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0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7.5999999999999998E-2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7.0000000000000007E-2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6.9000000000000006E-2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6.7000000000000004E-2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1.499266580607613E-2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23642.68</v>
      </c>
    </row>
    <row r="75" spans="1:29" x14ac:dyDescent="0.25">
      <c r="A75" s="2">
        <f>Results!$D$3</f>
        <v>32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32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32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32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0.68976875244280933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5.1840894278783689E-2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3.4450188928820118E-2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0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5.4239908569042344E-2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8.9669435907216294E-2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6.1686133327902549E-2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1.8217197410886281E-4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1.8162514571316728E-2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7.4141144361376254E-2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7.0469096739247436E-2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6.9469096739247435E-2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6.7469096739247433E-2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1.3666915957920429E-2</v>
      </c>
      <c r="AB78" s="2">
        <f>SUMIFS(PERSALDATA!$G$2:$G$20871,PERSALDATA!$A$2:$A$20871,WORKING!A78,PERSALDATA!$D$2:$D$20871,WORKING!B78,PERSALDATA!$E$2:$E$20871,WORKING!C78,PERSALDATA!$F$2:$F$20871,"S&amp;W: BASIC SALARY (RES)")</f>
        <v>3</v>
      </c>
      <c r="AC78" s="2">
        <f>SUMIFS(PERSALDATA!$H$2:$H$20871,PERSALDATA!$A$2:$A$20871,WORKING!A78,PERSALDATA!$D$2:$D$20871,WORKING!B78,PERSALDATA!$E$2:$E$20871,WORKING!C78)</f>
        <v>1280109.0900000001</v>
      </c>
    </row>
    <row r="79" spans="1:29" x14ac:dyDescent="0.25">
      <c r="A79" s="2">
        <f>Results!$D$3</f>
        <v>32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0.70122553798070464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9.3102397621002669E-2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2.7180487497143534E-2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3.6650035116518728E-3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2.5519457705651432E-2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9.1158892096484687E-2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5.8001499289112808E-2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1.4672429824846926E-4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7.4291555358096215E-2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7.0110986990613341E-2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6.9110986990613341E-2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6.7110986990613353E-2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1.420729995748435E-2</v>
      </c>
      <c r="AB79" s="2">
        <f>SUMIFS(PERSALDATA!$G$2:$G$20871,PERSALDATA!$A$2:$A$20871,WORKING!A79,PERSALDATA!$D$2:$D$20871,WORKING!B79,PERSALDATA!$E$2:$E$20871,WORKING!C79,PERSALDATA!$F$2:$F$20871,"S&amp;W: BASIC SALARY (RES)")</f>
        <v>1</v>
      </c>
      <c r="AC79" s="2">
        <f>SUMIFS(PERSALDATA!$H$2:$H$20871,PERSALDATA!$A$2:$A$20871,WORKING!A79,PERSALDATA!$D$2:$D$20871,WORKING!B79,PERSALDATA!$E$2:$E$20871,WORKING!C79)</f>
        <v>596015.79999999993</v>
      </c>
    </row>
    <row r="80" spans="1:29" x14ac:dyDescent="0.25">
      <c r="A80" s="2">
        <f>Results!$D$3</f>
        <v>32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0.82658084598459347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8.275401284664672E-3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2.5705825055098157E-2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0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3.1827024646343405E-2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0.10745492758039824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0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1.5597544890202789E-4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7.4491935640861345E-2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7.0220347119144183E-2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6.9220347119144182E-2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6.7220347119144166E-2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1.4134667622744845E-2</v>
      </c>
      <c r="AB80" s="2">
        <f>SUMIFS(PERSALDATA!$G$2:$G$20871,PERSALDATA!$A$2:$A$20871,WORKING!A80,PERSALDATA!$D$2:$D$20871,WORKING!B80,PERSALDATA!$E$2:$E$20871,WORKING!C80,PERSALDATA!$F$2:$F$20871,"S&amp;W: BASIC SALARY (RES)")</f>
        <v>1</v>
      </c>
      <c r="AC80" s="2">
        <f>SUMIFS(PERSALDATA!$H$2:$H$20871,PERSALDATA!$A$2:$A$20871,WORKING!A80,PERSALDATA!$D$2:$D$20871,WORKING!B80,PERSALDATA!$E$2:$E$20871,WORKING!C80)</f>
        <v>373456.21</v>
      </c>
    </row>
    <row r="81" spans="1:29" x14ac:dyDescent="0.25">
      <c r="A81" s="2">
        <f>Results!$D$3</f>
        <v>32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0.70533574391268561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3.3973973368386298E-2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5.6587846296846683E-2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1.0255026854303496E-2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9.1693300175351738E-2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2.6813163610458279E-2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1.1280529539733845E-4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7.5228140486570519E-2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1.3995664823301786E-2</v>
      </c>
      <c r="AB81" s="2">
        <f>SUMIFS(PERSALDATA!$G$2:$G$20871,PERSALDATA!$A$2:$A$20871,WORKING!A81,PERSALDATA!$D$2:$D$20871,WORKING!B81,PERSALDATA!$E$2:$E$20871,WORKING!C81,PERSALDATA!$F$2:$F$20871,"S&amp;W: BASIC SALARY (RES)")</f>
        <v>1</v>
      </c>
      <c r="AC81" s="2">
        <f>SUMIFS(PERSALDATA!$H$2:$H$20871,PERSALDATA!$A$2:$A$20871,WORKING!A81,PERSALDATA!$D$2:$D$20871,WORKING!B81,PERSALDATA!$E$2:$E$20871,WORKING!C81)</f>
        <v>1085321.3900000001</v>
      </c>
    </row>
    <row r="82" spans="1:29" x14ac:dyDescent="0.25">
      <c r="A82" s="2">
        <f>Results!$D$3</f>
        <v>32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0.68816021543814454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6.5901730757484678E-2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0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2.0527259063870987E-2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8.9627666888292629E-2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2.3181291600374306E-2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9.4494038356723322E-5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0.11250734221347625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0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1.4690673703466585E-2</v>
      </c>
      <c r="AB82" s="2">
        <f>SUMIFS(PERSALDATA!$G$2:$G$20871,PERSALDATA!$A$2:$A$20871,WORKING!A82,PERSALDATA!$D$2:$D$20871,WORKING!B82,PERSALDATA!$E$2:$E$20871,WORKING!C82,PERSALDATA!$F$2:$F$20871,"S&amp;W: BASIC SALARY (RES)")</f>
        <v>5</v>
      </c>
      <c r="AC82" s="2">
        <f>SUMIFS(PERSALDATA!$H$2:$H$20871,PERSALDATA!$A$2:$A$20871,WORKING!A82,PERSALDATA!$D$2:$D$20871,WORKING!B82,PERSALDATA!$E$2:$E$20871,WORKING!C82)</f>
        <v>3146547.71</v>
      </c>
    </row>
    <row r="83" spans="1:29" x14ac:dyDescent="0.25">
      <c r="A83" s="2">
        <f>Results!$D$3</f>
        <v>32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0.6371213272362074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2.6307138794842276E-2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0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1.6039479753682154E-2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8.2825587265223377E-2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7.7918177556884921E-5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0.23762854877248804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0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1.4758239031031415E-2</v>
      </c>
      <c r="AB83" s="2">
        <f>SUMIFS(PERSALDATA!$G$2:$G$20871,PERSALDATA!$A$2:$A$20871,WORKING!A83,PERSALDATA!$D$2:$D$20871,WORKING!B83,PERSALDATA!$E$2:$E$20871,WORKING!C83,PERSALDATA!$F$2:$F$20871,"S&amp;W: BASIC SALARY (RES)")</f>
        <v>7</v>
      </c>
      <c r="AC83" s="2">
        <f>SUMIFS(PERSALDATA!$H$2:$H$20871,PERSALDATA!$A$2:$A$20871,WORKING!A83,PERSALDATA!$D$2:$D$20871,WORKING!B83,PERSALDATA!$E$2:$E$20871,WORKING!C83)</f>
        <v>7182277.8399999999</v>
      </c>
    </row>
    <row r="84" spans="1:29" x14ac:dyDescent="0.25">
      <c r="A84" s="2">
        <f>Results!$D$3</f>
        <v>32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0.63548552760067689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4.7108599782146217E-2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1.6100097364332551E-2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7.5670457612362994E-3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8.3235692112645809E-2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6.2558940821284668E-5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0.21044047843814079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1.4644054469004145E-2</v>
      </c>
      <c r="AB84" s="2">
        <f>SUMIFS(PERSALDATA!$G$2:$G$20871,PERSALDATA!$A$2:$A$20871,WORKING!A84,PERSALDATA!$D$2:$D$20871,WORKING!B84,PERSALDATA!$E$2:$E$20871,WORKING!C84,PERSALDATA!$F$2:$F$20871,"S&amp;W: BASIC SALARY (RES)")</f>
        <v>2</v>
      </c>
      <c r="AC84" s="2">
        <f>SUMIFS(PERSALDATA!$H$2:$H$20871,PERSALDATA!$A$2:$A$20871,WORKING!A84,PERSALDATA!$D$2:$D$20871,WORKING!B84,PERSALDATA!$E$2:$E$20871,WORKING!C84)</f>
        <v>2981348.4300000006</v>
      </c>
    </row>
    <row r="85" spans="1:29" x14ac:dyDescent="0.25">
      <c r="A85" s="2">
        <f>Results!$D$3</f>
        <v>32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0.69996146310230067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0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5.5197835623962535E-2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9.0994906598895559E-2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5.5178906325051703E-5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0.15379061576851613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1.4171204782045683E-2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1267875.8</v>
      </c>
    </row>
    <row r="86" spans="1:29" x14ac:dyDescent="0.25">
      <c r="A86" s="2">
        <f>Results!$D$3</f>
        <v>32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32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32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32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32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32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32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32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32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32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32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32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32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32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32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32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32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32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32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32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32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32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32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32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32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32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32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32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32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32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32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32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32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32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32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32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32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32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32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32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32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32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32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32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32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32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32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32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32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32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32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32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32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32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32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32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32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32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32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32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32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32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32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32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32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32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32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32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32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32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32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32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32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32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32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32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32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32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32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32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32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32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32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32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32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32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32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32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32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32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32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32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32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32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32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32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32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32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32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32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32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32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32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32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32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32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32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32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32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32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32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32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32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32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32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32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32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32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32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32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32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32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32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32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32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32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32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32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32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32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32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32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32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32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32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32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32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32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32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32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32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32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32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32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32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32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32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32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32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32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32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32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32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32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32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32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32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32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32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32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32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32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32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32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32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32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32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32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32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32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32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32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32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32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32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32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32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32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32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32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32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32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32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32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32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32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32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32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32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32</v>
      </c>
      <c r="E3" s="74" t="str">
        <f>INDEX(MAPs!$I$7:$J$54,MATCH(Results!$D$3,MAPs!$I$7:$I$54,0),2)</f>
        <v>Telecommunications and Postal Services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38.924836601307192</v>
      </c>
      <c r="N9" s="148">
        <f>IFERROR(SUMIFS('Employee Profile (2)'!C$4:C$50,'Employee Profile (2)'!$B$4:$B$50,Results!$D$3),"")</f>
        <v>0.14052287581699346</v>
      </c>
      <c r="O9" s="150" t="s">
        <v>620</v>
      </c>
      <c r="P9" s="143">
        <f>IFERROR(INDEX('Employee Profile (2)'!$AC$4:$AC$50,MATCH(Results!$D$3,'Employee Profile (2)'!$B$4:$B$50,0))*$Q9,"")</f>
        <v>117.6797385620915</v>
      </c>
      <c r="Q9" s="148">
        <f>IFERROR(SUMIFS('Employee Profile (2)'!J$4:J$50,'Employee Profile (2)'!$B$4:$B$50,Results!$D$3),"")</f>
        <v>0.42483660130718953</v>
      </c>
      <c r="R9" s="150" t="s">
        <v>627</v>
      </c>
      <c r="S9" s="144">
        <f>IFERROR(INDEX('Employee Profile (2)'!$AC$4:$AC$50,MATCH(Results!$D$3,'Employee Profile (2)'!$B$4:$B$50,0))*$T9,"")</f>
        <v>3.6209150326797386</v>
      </c>
      <c r="T9" s="147">
        <f>IFERROR(SUMIFS('Employee Profile (2)'!N$4:N$50,'Employee Profile (2)'!$B$4:$B$50,Results!$D$3),"")</f>
        <v>1.3071895424836602E-2</v>
      </c>
      <c r="U9" s="150" t="s">
        <v>632</v>
      </c>
      <c r="V9" s="144">
        <f>IFERROR(INDEX('Employee Profile (2)'!$AC$4:$AC$50,MATCH(Results!$D$3,'Employee Profile (2)'!$B$4:$B$50,0))*$W9,"")</f>
        <v>141.21568627450981</v>
      </c>
      <c r="W9" s="147">
        <f>IFERROR(SUMIFS('Employee Profile (2)'!S$4:S$50,'Employee Profile (2)'!$B$4:$B$50,Results!$D$3),"")</f>
        <v>0.50980392156862742</v>
      </c>
      <c r="X9" s="150" t="s">
        <v>635</v>
      </c>
      <c r="Y9" s="144">
        <f>IFERROR(INDEX('Employee Profile (2)'!$AC$4:$AC$50,MATCH(Results!$D$3,'Employee Profile (2)'!$B$4:$B$50,0))*$Z9,"")</f>
        <v>201.86601307189542</v>
      </c>
      <c r="Z9" s="147">
        <f>IFERROR(SUMIFS('Employee Profile (2)'!V$4:V$50,'Employee Profile (2)'!$B$4:$B$50,Results!$D$3),"")</f>
        <v>0.72875816993464049</v>
      </c>
      <c r="AA9" s="150" t="s">
        <v>675</v>
      </c>
      <c r="AB9" s="144">
        <f>IFERROR(SUMIFS('Employee Profile (2)'!$AD$4:$AD$50,'Employee Profile (2)'!$B$4:$B$50,Results!$D$3),"")</f>
        <v>141</v>
      </c>
      <c r="AC9" s="147">
        <f>IFERROR(SUMIFS('Employee Profile (2)'!$AE$4:$AE$50,'Employee Profile (2)'!$B$4:$B$50,Results!$D$3),"")</f>
        <v>0.50902527075812276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169.2777777777778</v>
      </c>
      <c r="N10" s="148">
        <f>IFERROR(SUMIFS('Employee Profile (2)'!D$4:D$50,'Employee Profile (2)'!$B$4:$B$50,Results!$D$3),"")</f>
        <v>0.61111111111111116</v>
      </c>
      <c r="O10" s="150" t="s">
        <v>621</v>
      </c>
      <c r="P10" s="143">
        <f>IFERROR(INDEX('Employee Profile (2)'!$AC$4:$AC$50,MATCH(Results!$D$3,'Employee Profile (2)'!$B$4:$B$50,0))*$Q10,"")</f>
        <v>127.63725490196077</v>
      </c>
      <c r="Q10" s="148">
        <f>IFERROR(SUMIFS('Employee Profile (2)'!K$4:K$50,'Employee Profile (2)'!$B$4:$B$50,Results!$D$3),"")</f>
        <v>0.46078431372549017</v>
      </c>
      <c r="R10" s="150" t="s">
        <v>628</v>
      </c>
      <c r="S10" s="144">
        <f>IFERROR(INDEX('Employee Profile (2)'!$AC$4:$AC$50,MATCH(Results!$D$3,'Employee Profile (2)'!$B$4:$B$50,0))*$T10,"")</f>
        <v>66.986928104575171</v>
      </c>
      <c r="T10" s="147">
        <f>IFERROR(SUMIFS('Employee Profile (2)'!O$4:O$50,'Employee Profile (2)'!$B$4:$B$50,Results!$D$3),"")</f>
        <v>0.24183006535947713</v>
      </c>
      <c r="U10" s="150" t="s">
        <v>633</v>
      </c>
      <c r="V10" s="144">
        <f>IFERROR(INDEX('Employee Profile (2)'!$AC$4:$AC$50,MATCH(Results!$D$3,'Employee Profile (2)'!$B$4:$B$50,0))*$W10,"")</f>
        <v>105.91176470588235</v>
      </c>
      <c r="W10" s="147">
        <f>IFERROR(SUMIFS('Employee Profile (2)'!T$4:T$50,'Employee Profile (2)'!$B$4:$B$50,Results!$D$3),"")</f>
        <v>0.38235294117647056</v>
      </c>
      <c r="X10" s="150" t="s">
        <v>636</v>
      </c>
      <c r="Y10" s="144">
        <f>IFERROR(INDEX('Employee Profile (2)'!$AC$4:$AC$50,MATCH(Results!$D$3,'Employee Profile (2)'!$B$4:$B$50,0))*$Z10,"")</f>
        <v>14.483660130718954</v>
      </c>
      <c r="Z10" s="147">
        <f>IFERROR(SUMIFS('Employee Profile (2)'!W$4:W$50,'Employee Profile (2)'!$B$4:$B$50,Results!$D$3),"")</f>
        <v>5.2287581699346407E-2</v>
      </c>
      <c r="AA10" s="150" t="s">
        <v>676</v>
      </c>
      <c r="AB10" s="144">
        <f>IFERROR(INDEX('Employee Profile (2)'!$AC$4:$AC$50,MATCH(Results!$D$3,'Employee Profile (2)'!$B$4:$B$50))-$AB$9,"")</f>
        <v>136</v>
      </c>
      <c r="AC10" s="147">
        <f>IFERROR(100%-$AC$9,"")</f>
        <v>0.49097472924187724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13</v>
      </c>
      <c r="H11" s="158">
        <v>14</v>
      </c>
      <c r="I11" s="158">
        <v>11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19.009803921568629</v>
      </c>
      <c r="N11" s="148">
        <f>IFERROR(SUMIFS('Employee Profile (2)'!E$4:E$50,'Employee Profile (2)'!$B$4:$B$50,Results!$D$3),"")</f>
        <v>6.8627450980392163E-2</v>
      </c>
      <c r="O11" s="150" t="s">
        <v>622</v>
      </c>
      <c r="P11" s="143">
        <f>IFERROR(INDEX('Employee Profile (2)'!$AC$4:$AC$50,MATCH(Results!$D$3,'Employee Profile (2)'!$B$4:$B$50,0))*$Q11,"")</f>
        <v>27.156862745098039</v>
      </c>
      <c r="Q11" s="148">
        <f>IFERROR(SUMIFS('Employee Profile (2)'!L$4:L$50,'Employee Profile (2)'!$B$4:$B$50,Results!$D$3),"")</f>
        <v>9.8039215686274508E-2</v>
      </c>
      <c r="R11" s="150" t="s">
        <v>629</v>
      </c>
      <c r="S11" s="144">
        <f>IFERROR(INDEX('Employee Profile (2)'!$AC$4:$AC$50,MATCH(Results!$D$3,'Employee Profile (2)'!$B$4:$B$50,0))*$T11,"")</f>
        <v>138.49999999999997</v>
      </c>
      <c r="T11" s="147">
        <f>IFERROR(SUMIFS('Employee Profile (2)'!P$4:P$50,'Employee Profile (2)'!$B$4:$B$50,Results!$D$3),"")</f>
        <v>0.49999999999999994</v>
      </c>
      <c r="U11" s="150" t="s">
        <v>53</v>
      </c>
      <c r="V11" s="144">
        <f>IFERROR(INDEX('Employee Profile (2)'!$AC$4:$AC$50,MATCH(Results!$D$3,'Employee Profile (2)'!$B$4:$B$50,0))*$W11,"")</f>
        <v>29.872549019607845</v>
      </c>
      <c r="W11" s="147">
        <f>IFERROR(SUMIFS('Employee Profile (2)'!U$4:U$50,'Employee Profile (2)'!$B$4:$B$50,Results!$D$3),"")</f>
        <v>0.10784313725490197</v>
      </c>
      <c r="X11" s="150" t="s">
        <v>637</v>
      </c>
      <c r="Y11" s="144">
        <f>IFERROR(INDEX('Employee Profile (2)'!$AC$4:$AC$50,MATCH(Results!$D$3,'Employee Profile (2)'!$B$4:$B$50,0))*$Z11,"")</f>
        <v>9.0522875816993462</v>
      </c>
      <c r="Z11" s="147">
        <f>IFERROR(SUMIFS('Employee Profile (2)'!X$4:X$50,'Employee Profile (2)'!$B$4:$B$50,Results!$D$3),"")</f>
        <v>3.2679738562091505E-2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16.294117647058822</v>
      </c>
      <c r="N12" s="148">
        <f>IFERROR(SUMIFS('Employee Profile (2)'!F$4:F$50,'Employee Profile (2)'!$B$4:$B$50,Results!$D$3),"")</f>
        <v>5.8823529411764705E-2</v>
      </c>
      <c r="O12" s="150" t="s">
        <v>623</v>
      </c>
      <c r="P12" s="143">
        <f>IFERROR(INDEX('Employee Profile (2)'!$AC$4:$AC$50,MATCH(Results!$D$3,'Employee Profile (2)'!$B$4:$B$50,0))*$Q12,"")</f>
        <v>4.5261437908496731</v>
      </c>
      <c r="Q12" s="148">
        <f>IFERROR(SUMIFS('Employee Profile (2)'!M$4:M$50,'Employee Profile (2)'!$B$4:$B$50,Results!$D$3),"")</f>
        <v>1.6339869281045753E-2</v>
      </c>
      <c r="R12" s="150" t="s">
        <v>630</v>
      </c>
      <c r="S12" s="144">
        <f>IFERROR(INDEX('Employee Profile (2)'!$AC$4:$AC$50,MATCH(Results!$D$3,'Employee Profile (2)'!$B$4:$B$50,0))*$T12,"")</f>
        <v>16.294117647058822</v>
      </c>
      <c r="T12" s="147">
        <f>IFERROR(SUMIFS('Employee Profile (2)'!Q$4:Q$50,'Employee Profile (2)'!$B$4:$B$50,Results!$D$3),"")</f>
        <v>5.8823529411764705E-2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21.725490196078432</v>
      </c>
      <c r="Z12" s="147">
        <f>IFERROR(SUMIFS('Employee Profile (2)'!Y$4:Y$50,'Employee Profile (2)'!$B$4:$B$50,Results!$D$3),"")</f>
        <v>7.8431372549019607E-2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2.715686274509804</v>
      </c>
      <c r="N13" s="148">
        <f>IFERROR(SUMIFS('Employee Profile (2)'!G$4:G$50,'Employee Profile (2)'!$B$4:$B$50,Results!$D$3),"")</f>
        <v>9.8039215686274508E-3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51.598039215686278</v>
      </c>
      <c r="T13" s="147">
        <f>IFERROR(SUMIFS('Employee Profile (2)'!R$4:R$50,'Employee Profile (2)'!$B$4:$B$50,Results!$D$3),"")</f>
        <v>0.18627450980392157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29.872549019607845</v>
      </c>
      <c r="Z13" s="147">
        <f>IFERROR(SUMIFS('Employee Profile (2)'!Z$4:Z$50,'Employee Profile (2)'!$B$4:$B$50,Results!$D$3),"")</f>
        <v>0.10784313725490197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1.8104575163398693</v>
      </c>
      <c r="N14" s="148">
        <f>IFERROR(SUMIFS('Employee Profile (2)'!H$4:H$50,'Employee Profile (2)'!$B$4:$B$50,Results!$D$3),"")</f>
        <v>6.5359477124183009E-3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13</v>
      </c>
      <c r="H15" s="112">
        <f t="shared" ref="H15:J15" si="0">SUM(H9:H14)</f>
        <v>14</v>
      </c>
      <c r="I15" s="112">
        <f t="shared" si="0"/>
        <v>11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28.967320261437909</v>
      </c>
      <c r="N15" s="148">
        <f>IFERROR(SUMIFS('Employee Profile (2)'!I$4:I$50,'Employee Profile (2)'!$B$4:$B$50,Results!$D$3),"")</f>
        <v>0.10457516339869281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13</v>
      </c>
      <c r="H16" s="82">
        <f>SUMIFS($W$64:$W$509,$C$64:$C$509,"Total")</f>
        <v>14</v>
      </c>
      <c r="I16" s="82">
        <f>SUMIFS($AE$64:$AE$509,$C$64:$C$509,"Total")</f>
        <v>11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141</v>
      </c>
      <c r="G29" s="87">
        <f t="shared" ref="G29:G44" si="4">SUMIFS($K$64:$K$509,$A$64:$A$509,B29,$C$64:$C$509,"Total")</f>
        <v>640.71464489361711</v>
      </c>
      <c r="H29" s="83">
        <f t="shared" ref="H29:H44" si="5">SUMIFS($J$64:$J$509,$A$64:$A$509,B29,$C$64:$C$509,"Total")</f>
        <v>90340.764930000005</v>
      </c>
      <c r="I29" s="21">
        <f t="shared" ref="I29:I44" si="6">-SUMIFS($O$64:$O$509,$A$64:$A$509,$B29,$C$64:$C$509,"Total")+SUMIFS($N$64:$N$509,$A$64:$A$509,$B29,$C$64:$C$509,"Total")</f>
        <v>14</v>
      </c>
      <c r="J29" s="88">
        <f t="shared" ref="J29:J44" si="7">SUMIFS($P$64:$P$509,$A$64:$A$509,$B29,$C$64:$C$509,"Total")</f>
        <v>155</v>
      </c>
      <c r="K29" s="88">
        <f t="shared" ref="K29:K44" si="8">SUMIFS($M$64:$M$509,$A$64:$A$509,$B29,$C$64:$C$509,"Total")</f>
        <v>667.98692817300628</v>
      </c>
      <c r="L29" s="88">
        <f t="shared" ref="L29:L44" si="9">SUMIFS($R$64:$R$509,$A$64:$A$509,$B29,$C$64:$C$509,"Total")+SUMIFS($Q$64:$Q$509,$A$64:$A$509,$B29,$C$64:$C$509,"Total")</f>
        <v>6743.0400648511149</v>
      </c>
      <c r="M29" s="88">
        <f t="shared" ref="M29:M44" si="10">SUMIFS($S$64:$S$509,$A$64:$A$509,$B29,$C$64:$C$509,"Total")</f>
        <v>103537.97386681597</v>
      </c>
      <c r="N29" s="88">
        <f t="shared" ref="N29:N44" si="11">SUMIFS($S$64:$S$509,$A$64:$A$509,$B29,$C$64:$C$509,"Compensation Budget")</f>
        <v>92349</v>
      </c>
      <c r="O29" s="89">
        <f t="shared" ref="O29:O44" si="12">SUMIFS($S$64:$S$509,$A$64:$A$509,$B29,$C$64:$C$509,"Under/(Over)")</f>
        <v>-11188.97386681597</v>
      </c>
      <c r="P29" s="21">
        <f t="shared" ref="P29:P44" si="13">-SUMIFS($W$64:$W$509,$A$64:$A$509,$B29,$C$64:$C$509,"Total")+SUMIFS($V$64:$V$509,$A$64:$A$509,$B29,$C$64:$C$509,"Total")</f>
        <v>-11</v>
      </c>
      <c r="Q29" s="88">
        <f t="shared" ref="Q29:Q44" si="14">SUMIFS($X$64:$X$509,$A$64:$A$509,$B29,$C$64:$C$509,"Total")</f>
        <v>144</v>
      </c>
      <c r="R29" s="88">
        <f t="shared" ref="R29:R44" si="15">SUMIFS($U$64:$U$509,$A$64:$A$509,$B29,$C$64:$C$509,"Total")</f>
        <v>731.29848389850133</v>
      </c>
      <c r="S29" s="88">
        <f t="shared" ref="S29:S44" si="16">SUMIFS($Z$64:$Z$509,$A$64:$A$509,$B29,$C$64:$C$509,"Total")+SUMIFS($Y$64:$Y$509,$A$64:$A$509,$B29,$C$64:$C$509,"Total")</f>
        <v>-6570.4904032780632</v>
      </c>
      <c r="T29" s="88">
        <f t="shared" ref="T29:T44" si="17">SUMIFS($AA$64:$AA$509,$A$64:$A$509,$B29,$C$64:$C$509,"Total")</f>
        <v>105306.98168138419</v>
      </c>
      <c r="U29" s="88">
        <f t="shared" ref="U29:U44" si="18">SUMIFS($AA$64:$AA$509,$A$64:$A$509,$B29,$C$64:$C$509,"Compensation Budget")</f>
        <v>100047</v>
      </c>
      <c r="V29" s="89">
        <f t="shared" ref="V29:V44" si="19">SUMIFS($AA$64:$AA$509,$A$64:$A$509,$B29,$C$64:$C$509,"Under/(Over)")</f>
        <v>-5259.9816813841899</v>
      </c>
      <c r="W29" s="21">
        <f t="shared" ref="W29:W44" si="20">-SUMIFS($AE$64:$AE$509,$A$64:$A$509,$B29,$C$64:$C$509,"Total")+SUMIFS($AD$64:$AD$509,$A$64:$A$509,$B29,$C$64:$C$509,"Total")</f>
        <v>-3</v>
      </c>
      <c r="X29" s="88">
        <f t="shared" ref="X29:X44" si="21">SUMIFS($AF$64:$AF$509,$A$64:$A$509,$B29,$C$64:$C$509,"Total")</f>
        <v>141</v>
      </c>
      <c r="Y29" s="88">
        <f t="shared" ref="Y29:Y44" si="22">SUMIFS($AC$64:$AC$509,$A$64:$A$509,$B29,$C$64:$C$509,"Total")</f>
        <v>792.3790983071018</v>
      </c>
      <c r="Z29" s="88">
        <f t="shared" ref="Z29:Z44" si="23">SUMIFS($AH$64:$AH$509,$A$64:$A$509,$B29,$C$64:$C$509,"Total")+SUMIFS($AG$64:$AG$509,$A$64:$A$509,$B29,$C$64:$C$509,"Total")</f>
        <v>-1929.2870206740254</v>
      </c>
      <c r="AA29" s="88">
        <f t="shared" ref="AA29:AA44" si="24">SUMIFS($AI$64:$AI$509,$A$64:$A$509,$B29,$C$64:$C$509,"Total")</f>
        <v>111725.45286130135</v>
      </c>
      <c r="AB29" s="88">
        <f t="shared" ref="AB29:AB44" si="25">SUMIFS($AI$64:$AI$509,$A$64:$A$509,$B29,$C$64:$C$509,"Compensation Budget")</f>
        <v>105352</v>
      </c>
      <c r="AC29" s="89">
        <f t="shared" ref="AC29:AC44" si="26">SUMIFS($AI$64:$AI$509,$A$64:$A$509,$B29,$C$64:$C$509,"Under/(Over)")</f>
        <v>-6373.4528613013536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141</v>
      </c>
      <c r="AF29" s="88">
        <f t="shared" ref="AF29:AF44" si="29">SUMIFS($AK$64:$AK$509,$A$64:$A$509,$B29,$C$64:$C$509,"Total")</f>
        <v>853.54600166632349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120349.9862349516</v>
      </c>
      <c r="AI29" s="88">
        <f t="shared" ref="AI29:AI44" si="32">SUMIFS($AQ$64:$AQ$509,$A$64:$A$509,$B29,$C$64:$C$509,"Compensation Budget")</f>
        <v>113358.75200000001</v>
      </c>
      <c r="AJ29" s="89">
        <f t="shared" ref="AJ29:AJ44" si="33">SUMIFS($AQ$64:$AQ$509,$A$64:$A$509,$B29,$C$64:$C$509,"Under/(Over)")</f>
        <v>-6991.2342349515966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International Affairs and Trade</v>
      </c>
      <c r="D30" s="222">
        <f t="shared" si="2"/>
        <v>0</v>
      </c>
      <c r="E30" s="223">
        <f t="shared" si="2"/>
        <v>0</v>
      </c>
      <c r="F30" s="80">
        <f t="shared" si="3"/>
        <v>15</v>
      </c>
      <c r="G30" s="155">
        <f t="shared" si="4"/>
        <v>694.96705533333329</v>
      </c>
      <c r="H30" s="155">
        <f t="shared" si="5"/>
        <v>10424.50583</v>
      </c>
      <c r="I30" s="23">
        <f t="shared" si="6"/>
        <v>5</v>
      </c>
      <c r="J30" s="22">
        <f t="shared" si="7"/>
        <v>20</v>
      </c>
      <c r="K30" s="22">
        <f t="shared" si="8"/>
        <v>639.86563341168585</v>
      </c>
      <c r="L30" s="22">
        <f t="shared" si="9"/>
        <v>1955.3748274846996</v>
      </c>
      <c r="M30" s="22">
        <f t="shared" si="10"/>
        <v>12797.312668233717</v>
      </c>
      <c r="N30" s="22">
        <f t="shared" si="11"/>
        <v>13000</v>
      </c>
      <c r="O30" s="91">
        <f t="shared" si="12"/>
        <v>202.68733176628302</v>
      </c>
      <c r="P30" s="23">
        <f t="shared" si="13"/>
        <v>0</v>
      </c>
      <c r="Q30" s="22">
        <f t="shared" si="14"/>
        <v>20</v>
      </c>
      <c r="R30" s="22">
        <f t="shared" si="15"/>
        <v>689.6711113848794</v>
      </c>
      <c r="S30" s="22">
        <f t="shared" si="16"/>
        <v>0</v>
      </c>
      <c r="T30" s="22">
        <f t="shared" si="17"/>
        <v>13793.422227697589</v>
      </c>
      <c r="U30" s="22">
        <f t="shared" si="18"/>
        <v>13508</v>
      </c>
      <c r="V30" s="91">
        <f t="shared" si="19"/>
        <v>-285.42222769758882</v>
      </c>
      <c r="W30" s="23">
        <f t="shared" si="20"/>
        <v>-1</v>
      </c>
      <c r="X30" s="22">
        <f t="shared" si="21"/>
        <v>19</v>
      </c>
      <c r="Y30" s="22">
        <f t="shared" si="22"/>
        <v>754.41676950397562</v>
      </c>
      <c r="Z30" s="22">
        <f t="shared" si="23"/>
        <v>-519.39379834249189</v>
      </c>
      <c r="AA30" s="22">
        <f t="shared" si="24"/>
        <v>14333.918620575536</v>
      </c>
      <c r="AB30" s="22">
        <f t="shared" si="25"/>
        <v>14315</v>
      </c>
      <c r="AC30" s="91">
        <f t="shared" si="26"/>
        <v>-18.918620575535897</v>
      </c>
      <c r="AD30" s="23">
        <f t="shared" si="27"/>
        <v>0</v>
      </c>
      <c r="AE30" s="22">
        <f t="shared" si="28"/>
        <v>19</v>
      </c>
      <c r="AF30" s="22">
        <f t="shared" si="29"/>
        <v>810.6654241749502</v>
      </c>
      <c r="AG30" s="22">
        <f t="shared" si="30"/>
        <v>0</v>
      </c>
      <c r="AH30" s="22">
        <f t="shared" si="31"/>
        <v>15402.643059324053</v>
      </c>
      <c r="AI30" s="22">
        <f t="shared" si="32"/>
        <v>15402.94</v>
      </c>
      <c r="AJ30" s="91">
        <f t="shared" si="33"/>
        <v>0.29694067594755325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Policy, Research and Capacity Development</v>
      </c>
      <c r="D31" s="222">
        <f t="shared" si="2"/>
        <v>0</v>
      </c>
      <c r="E31" s="223">
        <f t="shared" si="2"/>
        <v>0</v>
      </c>
      <c r="F31" s="80">
        <f t="shared" si="3"/>
        <v>73</v>
      </c>
      <c r="G31" s="155">
        <f t="shared" si="4"/>
        <v>610.26981246575338</v>
      </c>
      <c r="H31" s="155">
        <f t="shared" si="5"/>
        <v>44549.696309999999</v>
      </c>
      <c r="I31" s="23">
        <f t="shared" si="6"/>
        <v>9</v>
      </c>
      <c r="J31" s="22">
        <f t="shared" si="7"/>
        <v>82</v>
      </c>
      <c r="K31" s="22">
        <f t="shared" si="8"/>
        <v>566.96236440302562</v>
      </c>
      <c r="L31" s="22">
        <f t="shared" si="9"/>
        <v>1069.5499048801571</v>
      </c>
      <c r="M31" s="22">
        <f t="shared" si="10"/>
        <v>46490.913881048102</v>
      </c>
      <c r="N31" s="22">
        <f t="shared" si="11"/>
        <v>56978</v>
      </c>
      <c r="O31" s="91">
        <f t="shared" si="12"/>
        <v>10487.086118951898</v>
      </c>
      <c r="P31" s="23">
        <f t="shared" si="13"/>
        <v>-2</v>
      </c>
      <c r="Q31" s="22">
        <f t="shared" si="14"/>
        <v>80</v>
      </c>
      <c r="R31" s="22">
        <f t="shared" si="15"/>
        <v>611.35825909219909</v>
      </c>
      <c r="S31" s="22">
        <f t="shared" si="16"/>
        <v>-1293.611511922762</v>
      </c>
      <c r="T31" s="22">
        <f t="shared" si="17"/>
        <v>48908.660727375929</v>
      </c>
      <c r="U31" s="22">
        <f t="shared" si="18"/>
        <v>53491</v>
      </c>
      <c r="V31" s="91">
        <f t="shared" si="19"/>
        <v>4582.3392726240709</v>
      </c>
      <c r="W31" s="23">
        <f t="shared" si="20"/>
        <v>-3</v>
      </c>
      <c r="X31" s="22">
        <f t="shared" si="21"/>
        <v>77</v>
      </c>
      <c r="Y31" s="22">
        <f t="shared" si="22"/>
        <v>659.63153009978123</v>
      </c>
      <c r="Z31" s="22">
        <f t="shared" si="23"/>
        <v>-1965.7404021147327</v>
      </c>
      <c r="AA31" s="22">
        <f t="shared" si="24"/>
        <v>50791.627817683155</v>
      </c>
      <c r="AB31" s="22">
        <f t="shared" si="25"/>
        <v>53595</v>
      </c>
      <c r="AC31" s="91">
        <f t="shared" si="26"/>
        <v>2803.3721823168453</v>
      </c>
      <c r="AD31" s="23">
        <f t="shared" si="27"/>
        <v>0</v>
      </c>
      <c r="AE31" s="22">
        <f t="shared" si="28"/>
        <v>77</v>
      </c>
      <c r="AF31" s="22">
        <f t="shared" si="29"/>
        <v>710.07192513143821</v>
      </c>
      <c r="AG31" s="22">
        <f t="shared" si="30"/>
        <v>0</v>
      </c>
      <c r="AH31" s="22">
        <f t="shared" si="31"/>
        <v>54675.538235120745</v>
      </c>
      <c r="AI31" s="22">
        <f t="shared" si="32"/>
        <v>57668.22</v>
      </c>
      <c r="AJ31" s="91">
        <f t="shared" si="33"/>
        <v>2992.6817648792567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ICT Enterprise Development and Oversight</v>
      </c>
      <c r="D32" s="222">
        <f t="shared" si="2"/>
        <v>0</v>
      </c>
      <c r="E32" s="223">
        <f t="shared" si="2"/>
        <v>0</v>
      </c>
      <c r="F32" s="80">
        <f t="shared" si="3"/>
        <v>25</v>
      </c>
      <c r="G32" s="155">
        <f t="shared" si="4"/>
        <v>709.11702480000008</v>
      </c>
      <c r="H32" s="155">
        <f t="shared" si="5"/>
        <v>17727.925620000002</v>
      </c>
      <c r="I32" s="23">
        <f t="shared" si="6"/>
        <v>5</v>
      </c>
      <c r="J32" s="22">
        <f t="shared" si="7"/>
        <v>30</v>
      </c>
      <c r="K32" s="22">
        <f t="shared" si="8"/>
        <v>796.44768651415188</v>
      </c>
      <c r="L32" s="22">
        <f t="shared" si="9"/>
        <v>5045.8494132487513</v>
      </c>
      <c r="M32" s="22">
        <f t="shared" si="10"/>
        <v>23893.430595424557</v>
      </c>
      <c r="N32" s="22">
        <f t="shared" si="11"/>
        <v>31269</v>
      </c>
      <c r="O32" s="91">
        <f t="shared" si="12"/>
        <v>7375.5694045754426</v>
      </c>
      <c r="P32" s="23">
        <f t="shared" si="13"/>
        <v>-1</v>
      </c>
      <c r="Q32" s="22">
        <f t="shared" si="14"/>
        <v>29</v>
      </c>
      <c r="R32" s="22">
        <f t="shared" si="15"/>
        <v>876.63910876195314</v>
      </c>
      <c r="S32" s="22">
        <f t="shared" si="16"/>
        <v>-341.26680058012869</v>
      </c>
      <c r="T32" s="22">
        <f t="shared" si="17"/>
        <v>25422.53415409664</v>
      </c>
      <c r="U32" s="22">
        <f t="shared" si="18"/>
        <v>31101</v>
      </c>
      <c r="V32" s="91">
        <f t="shared" si="19"/>
        <v>5678.4658459033599</v>
      </c>
      <c r="W32" s="23">
        <f t="shared" si="20"/>
        <v>-2</v>
      </c>
      <c r="X32" s="22">
        <f t="shared" si="21"/>
        <v>27</v>
      </c>
      <c r="Y32" s="22">
        <f t="shared" si="22"/>
        <v>965.06303423324584</v>
      </c>
      <c r="Z32" s="22">
        <f t="shared" si="23"/>
        <v>-1328.1606425835521</v>
      </c>
      <c r="AA32" s="22">
        <f t="shared" si="24"/>
        <v>26056.701924297638</v>
      </c>
      <c r="AB32" s="22">
        <f t="shared" si="25"/>
        <v>36973</v>
      </c>
      <c r="AC32" s="91">
        <f t="shared" si="26"/>
        <v>10916.298075702362</v>
      </c>
      <c r="AD32" s="23">
        <f t="shared" si="27"/>
        <v>0</v>
      </c>
      <c r="AE32" s="22">
        <f t="shared" si="28"/>
        <v>27</v>
      </c>
      <c r="AF32" s="22">
        <f t="shared" si="29"/>
        <v>1037.2557128962635</v>
      </c>
      <c r="AG32" s="22">
        <f t="shared" si="30"/>
        <v>0</v>
      </c>
      <c r="AH32" s="22">
        <f t="shared" si="31"/>
        <v>28005.904248199113</v>
      </c>
      <c r="AI32" s="22">
        <f t="shared" si="32"/>
        <v>39782.948000000004</v>
      </c>
      <c r="AJ32" s="91">
        <f t="shared" si="33"/>
        <v>11777.043751800891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ICT Infrastructure Support</v>
      </c>
      <c r="D33" s="222">
        <f t="shared" si="2"/>
        <v>0</v>
      </c>
      <c r="E33" s="223">
        <f t="shared" si="2"/>
        <v>0</v>
      </c>
      <c r="F33" s="80">
        <f t="shared" si="3"/>
        <v>21</v>
      </c>
      <c r="G33" s="155">
        <f t="shared" si="4"/>
        <v>854.12356904761918</v>
      </c>
      <c r="H33" s="155">
        <f t="shared" si="5"/>
        <v>17936.594950000002</v>
      </c>
      <c r="I33" s="23">
        <f t="shared" si="6"/>
        <v>8</v>
      </c>
      <c r="J33" s="22">
        <f t="shared" si="7"/>
        <v>29</v>
      </c>
      <c r="K33" s="22">
        <f t="shared" si="8"/>
        <v>843.57402775156891</v>
      </c>
      <c r="L33" s="22">
        <f t="shared" si="9"/>
        <v>5412.0267909641352</v>
      </c>
      <c r="M33" s="22">
        <f t="shared" si="10"/>
        <v>24463.646804795499</v>
      </c>
      <c r="N33" s="22">
        <f t="shared" si="11"/>
        <v>20117</v>
      </c>
      <c r="O33" s="91">
        <f t="shared" si="12"/>
        <v>-4346.6468047954986</v>
      </c>
      <c r="P33" s="23">
        <f t="shared" si="13"/>
        <v>0</v>
      </c>
      <c r="Q33" s="22">
        <f t="shared" si="14"/>
        <v>29</v>
      </c>
      <c r="R33" s="22">
        <f t="shared" si="15"/>
        <v>909.96663216525644</v>
      </c>
      <c r="S33" s="22">
        <f t="shared" si="16"/>
        <v>0</v>
      </c>
      <c r="T33" s="22">
        <f t="shared" si="17"/>
        <v>26389.032332792438</v>
      </c>
      <c r="U33" s="22">
        <f t="shared" si="18"/>
        <v>18947</v>
      </c>
      <c r="V33" s="91">
        <f t="shared" si="19"/>
        <v>-7442.032332792438</v>
      </c>
      <c r="W33" s="23">
        <f t="shared" si="20"/>
        <v>-2</v>
      </c>
      <c r="X33" s="22">
        <f t="shared" si="21"/>
        <v>27</v>
      </c>
      <c r="Y33" s="22">
        <f t="shared" si="22"/>
        <v>1003.1113102973821</v>
      </c>
      <c r="Z33" s="22">
        <f t="shared" si="23"/>
        <v>-1355.7002937396037</v>
      </c>
      <c r="AA33" s="22">
        <f t="shared" si="24"/>
        <v>27084.005378029316</v>
      </c>
      <c r="AB33" s="22">
        <f t="shared" si="25"/>
        <v>16607</v>
      </c>
      <c r="AC33" s="91">
        <f t="shared" si="26"/>
        <v>-10477.005378029316</v>
      </c>
      <c r="AD33" s="23">
        <f t="shared" si="27"/>
        <v>0</v>
      </c>
      <c r="AE33" s="22">
        <f t="shared" si="28"/>
        <v>27</v>
      </c>
      <c r="AF33" s="22">
        <f t="shared" si="29"/>
        <v>1078.709295264433</v>
      </c>
      <c r="AG33" s="22">
        <f t="shared" si="30"/>
        <v>0</v>
      </c>
      <c r="AH33" s="22">
        <f t="shared" si="31"/>
        <v>29125.150972139691</v>
      </c>
      <c r="AI33" s="22">
        <f t="shared" si="32"/>
        <v>17869.132000000001</v>
      </c>
      <c r="AJ33" s="91">
        <f t="shared" si="33"/>
        <v>-11256.018972139689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275</v>
      </c>
      <c r="G45" s="92">
        <f>IFERROR(H45/F45,0)</f>
        <v>658.10722778181821</v>
      </c>
      <c r="H45" s="92">
        <f>SUM(H29:H38)</f>
        <v>180979.48764000001</v>
      </c>
      <c r="I45" s="25">
        <f>SUM(I29:I38)</f>
        <v>41</v>
      </c>
      <c r="J45" s="92">
        <f>SUM(J29:J38)</f>
        <v>316</v>
      </c>
      <c r="K45" s="92">
        <f>IFERROR(M45/J45,0)</f>
        <v>668.30151207695531</v>
      </c>
      <c r="L45" s="92">
        <f t="shared" ref="L45:Q45" si="34">SUM(L29:L38)</f>
        <v>20225.84100142886</v>
      </c>
      <c r="M45" s="92">
        <f t="shared" si="34"/>
        <v>211183.27781631786</v>
      </c>
      <c r="N45" s="92">
        <f>INDEX('ENE17'!$C$2:$C$48,MATCH(Results!$D$3,'ENE17'!$A$2:$A$48,0))</f>
        <v>213713</v>
      </c>
      <c r="O45" s="129">
        <f>N45-M45</f>
        <v>2529.7221836821409</v>
      </c>
      <c r="P45" s="25">
        <f t="shared" si="34"/>
        <v>-14</v>
      </c>
      <c r="Q45" s="24">
        <f t="shared" si="34"/>
        <v>302</v>
      </c>
      <c r="R45" s="92">
        <f>IFERROR(T45/Q45,0)</f>
        <v>727.88288451439337</v>
      </c>
      <c r="S45" s="24">
        <f>SUM(S29:S38)</f>
        <v>-8205.3687157809527</v>
      </c>
      <c r="T45" s="24">
        <f>SUM(T29:T38)</f>
        <v>219820.6311233468</v>
      </c>
      <c r="U45" s="207">
        <f>INDEX('ENE17'!$D$2:$D$48,MATCH(Results!$D$3,'ENE17'!$A$2:$A$48,0))</f>
        <v>214706</v>
      </c>
      <c r="V45" s="24">
        <f>U45-T45</f>
        <v>-5114.6311233468005</v>
      </c>
      <c r="W45" s="25">
        <f t="shared" ref="W45:X45" si="35">SUM(W29:W38)</f>
        <v>-11</v>
      </c>
      <c r="X45" s="24">
        <f t="shared" si="35"/>
        <v>291</v>
      </c>
      <c r="Y45" s="92">
        <f>IFERROR(AA45/X45,0)</f>
        <v>790.34950722297935</v>
      </c>
      <c r="Z45" s="24">
        <f t="shared" ref="Z45:AA45" si="36">SUM(Z29:Z38)</f>
        <v>-7098.2821574544059</v>
      </c>
      <c r="AA45" s="24">
        <f t="shared" si="36"/>
        <v>229991.70660188698</v>
      </c>
      <c r="AB45" s="207">
        <f>INDEX('ENE17'!$E$2:$E$48,MATCH(Results!$D$3,'ENE17'!$A$2:$A$48,0))</f>
        <v>224300</v>
      </c>
      <c r="AC45" s="24">
        <f>AB45-AA45</f>
        <v>-5691.7066018869809</v>
      </c>
      <c r="AD45" s="25">
        <f t="shared" ref="AD45:AE45" si="37">SUM(AD29:AD38)</f>
        <v>0</v>
      </c>
      <c r="AE45" s="24">
        <f t="shared" si="37"/>
        <v>291</v>
      </c>
      <c r="AF45" s="92">
        <f>IFERROR(AH45/AE45,0)</f>
        <v>850.71897852142683</v>
      </c>
      <c r="AG45" s="24">
        <f t="shared" ref="AG45:AH45" si="38">SUM(AG29:AG38)</f>
        <v>0</v>
      </c>
      <c r="AH45" s="24">
        <f t="shared" si="38"/>
        <v>247559.2227497352</v>
      </c>
      <c r="AI45" s="207">
        <f>INDEX('ENE17'!$F$2:$F$48,MATCH(Results!$D$3,'ENE17'!$A$2:$A$48,0))</f>
        <v>241399</v>
      </c>
      <c r="AJ45" s="24">
        <f>AI45-AH45</f>
        <v>-6160.2227497351996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25</v>
      </c>
      <c r="G51" s="193">
        <f>IFERROR(H51/F51,"")</f>
        <v>312.06827559999999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7801.7068900000004</v>
      </c>
      <c r="I51" s="97">
        <f>SUMIFS($N$64:$N$509,$B$64:$B$509,$B51)-SUMIFS($O$64:$O$509,$B$64:$B$509,$B51)</f>
        <v>-1</v>
      </c>
      <c r="J51" s="80">
        <f>SUMIFS($P$64:$P$509,$B$64:$B$509,$B51)</f>
        <v>24</v>
      </c>
      <c r="K51" s="80">
        <f>IFERROR(M51/J51,0)</f>
        <v>267.90069855917199</v>
      </c>
      <c r="L51" s="80">
        <f>SUMIFS($R$64:$R$509,$B$64:$B$509,$B51)+SUMIFS($Q$64:$Q$509,$B$64:$B$509,$B51)</f>
        <v>-260.99387880974598</v>
      </c>
      <c r="M51" s="98">
        <f>SUMIFS($S$64:$S$509,$B$64:$B$509,$B51)</f>
        <v>6429.6167654201272</v>
      </c>
      <c r="N51" s="80">
        <f>SUMIFS($V$64:$V$509,$B$64:$B$509,$B51)-SUMIFS($W$64:$W$509,$B$64:$B$509,$B51)</f>
        <v>-2</v>
      </c>
      <c r="O51" s="80">
        <f>SUMIFS($X$64:$X$509,$B$64:$B$509,$B51)</f>
        <v>22</v>
      </c>
      <c r="P51" s="80">
        <f>IFERROR(R51/O51,0)</f>
        <v>291.24472309222432</v>
      </c>
      <c r="Q51" s="80">
        <f>SUMIFS($Z$64:$Z$509,$B$64:$B$509,$B51)+SUMIFS($Y$64:$Y$509,$B$64:$B$509,$B51)</f>
        <v>-566.03661094829306</v>
      </c>
      <c r="R51" s="80">
        <f>SUMIFS($AA$64:$AA$509,$B$64:$B$509,$B51)</f>
        <v>6407.3839080289354</v>
      </c>
      <c r="S51" s="97">
        <f>SUMIFS($AD$64:$AD$509,$B$64:$B$509,$B51)-SUMIFS($AE$64:$AE$509,$B$64:$B$509,$B51)</f>
        <v>0</v>
      </c>
      <c r="T51" s="80">
        <f>SUMIFS($AF$64:$AF$509,$B$64:$B$509,$B51)</f>
        <v>22</v>
      </c>
      <c r="U51" s="80">
        <f>IFERROR(W51/T51,0)</f>
        <v>315.58749297501578</v>
      </c>
      <c r="V51" s="80">
        <f>SUMIFS($AH$64:$AH$509,$B$64:$B$509,$B51)+SUMIFS($AG$64:$AG$509,$B$64:$B$509,$B51)</f>
        <v>0</v>
      </c>
      <c r="W51" s="98">
        <f>SUMIFS($AI$64:$AI$509,$B$64:$B$509,$B51)</f>
        <v>6942.9248454503468</v>
      </c>
      <c r="X51" s="80">
        <f>SUMIFS($AL$64:$AL$509,$B$64:$B$509,$B51)-SUMIFS($AM$64:$AM$509,$B$64:$B$509,$B51)</f>
        <v>0</v>
      </c>
      <c r="Y51" s="80">
        <f>SUMIFS($AN$64:$AN$509,$B$64:$B$509,$B51)</f>
        <v>22</v>
      </c>
      <c r="Z51" s="80">
        <f>IFERROR(AB51/Y51,0)</f>
        <v>341.32547547422791</v>
      </c>
      <c r="AA51" s="80">
        <f>SUMIFS($AP$64:$AP$509,$B$64:$B$509,$B51)+SUMIFS($AO$64:$AO$509,$B$64:$B$509,$B51)</f>
        <v>0</v>
      </c>
      <c r="AB51" s="98">
        <f>SUMIFS($AQ$64:$AQ$509,$B$64:$B$509,$B51)</f>
        <v>7509.1604604330141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104</v>
      </c>
      <c r="G52" s="192">
        <f t="shared" ref="G52:G55" si="40">IFERROR(H52/F52,"")</f>
        <v>391.52039144230758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40718.120709999988</v>
      </c>
      <c r="I52" s="97">
        <f>SUMIFS($N$64:$N$509,$B$64:$B$509,$B52)-SUMIFS($O$64:$O$509,$B$64:$B$509,$B52)</f>
        <v>3</v>
      </c>
      <c r="J52" s="80">
        <f>SUMIFS($P$64:$P$509,$B$64:$B$509,$B52)</f>
        <v>107</v>
      </c>
      <c r="K52" s="80">
        <f t="shared" ref="K52:K56" si="41">IFERROR(M52/J52,0)</f>
        <v>410.71108232830136</v>
      </c>
      <c r="L52" s="80">
        <f>SUMIFS($R$64:$R$509,$B$64:$B$509,$B52)+SUMIFS($Q$64:$Q$509,$B$64:$B$509,$B52)</f>
        <v>-191.62123855108212</v>
      </c>
      <c r="M52" s="98">
        <f>SUMIFS($S$64:$S$509,$B$64:$B$509,$B52)</f>
        <v>43946.085809128243</v>
      </c>
      <c r="N52" s="80">
        <f>SUMIFS($V$64:$V$509,$B$64:$B$509,$B52)-SUMIFS($W$64:$W$509,$B$64:$B$509,$B52)</f>
        <v>-7</v>
      </c>
      <c r="O52" s="80">
        <f>SUMIFS($X$64:$X$509,$B$64:$B$509,$B52)</f>
        <v>100</v>
      </c>
      <c r="P52" s="80">
        <f t="shared" ref="P52:P55" si="42">IFERROR(R52/O52,0)</f>
        <v>444.36223039163843</v>
      </c>
      <c r="Q52" s="80">
        <f>SUMIFS($Z$64:$Z$509,$B$64:$B$509,$B52)+SUMIFS($Y$64:$Y$509,$B$64:$B$509,$B52)</f>
        <v>-3254.581842458831</v>
      </c>
      <c r="R52" s="80">
        <f>SUMIFS($AA$64:$AA$509,$B$64:$B$509,$B52)</f>
        <v>44436.223039163844</v>
      </c>
      <c r="S52" s="97">
        <f>SUMIFS($AD$64:$AD$509,$B$64:$B$509,$B52)-SUMIFS($AE$64:$AE$509,$B$64:$B$509,$B52)</f>
        <v>-7</v>
      </c>
      <c r="T52" s="80">
        <f>SUMIFS($AF$64:$AF$509,$B$64:$B$509,$B52)</f>
        <v>93</v>
      </c>
      <c r="U52" s="80">
        <f t="shared" ref="U52:U55" si="43">IFERROR(W52/T52,0)</f>
        <v>477.52192127967032</v>
      </c>
      <c r="V52" s="80">
        <f>SUMIFS($AH$64:$AH$509,$B$64:$B$509,$B52)+SUMIFS($AG$64:$AG$509,$B$64:$B$509,$B52)</f>
        <v>-3767.9979392593182</v>
      </c>
      <c r="W52" s="98">
        <f>SUMIFS($AI$64:$AI$509,$B$64:$B$509,$B52)</f>
        <v>44409.53867900934</v>
      </c>
      <c r="X52" s="80">
        <f>SUMIFS($AL$64:$AL$509,$B$64:$B$509,$B52)-SUMIFS($AM$64:$AM$509,$B$64:$B$509,$B52)</f>
        <v>0</v>
      </c>
      <c r="Y52" s="80">
        <f>SUMIFS($AN$64:$AN$509,$B$64:$B$509,$B52)</f>
        <v>93</v>
      </c>
      <c r="Z52" s="80">
        <f t="shared" ref="Z52:Z55" si="44">IFERROR(AB52/Y52,0)</f>
        <v>516.75917577176438</v>
      </c>
      <c r="AA52" s="80">
        <f>SUMIFS($AP$64:$AP$509,$B$64:$B$509,$B52)+SUMIFS($AO$64:$AO$509,$B$64:$B$509,$B52)</f>
        <v>0</v>
      </c>
      <c r="AB52" s="98">
        <f>SUMIFS($AQ$64:$AQ$509,$B$64:$B$509,$B52)</f>
        <v>48058.603346774085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58</v>
      </c>
      <c r="G53" s="192">
        <f t="shared" si="40"/>
        <v>710.01631982758613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41180.946549999993</v>
      </c>
      <c r="I53" s="97">
        <f>SUMIFS($N$64:$N$509,$B$64:$B$509,$B53)-SUMIFS($O$64:$O$509,$B$64:$B$509,$B53)</f>
        <v>4</v>
      </c>
      <c r="J53" s="80">
        <f>SUMIFS($P$64:$P$509,$B$64:$B$509,$B53)</f>
        <v>62</v>
      </c>
      <c r="K53" s="80">
        <f t="shared" si="41"/>
        <v>765.58657783775391</v>
      </c>
      <c r="L53" s="80">
        <f>SUMIFS($R$64:$R$509,$B$64:$B$509,$B53)+SUMIFS($Q$64:$Q$509,$B$64:$B$509,$B53)</f>
        <v>2510.433879356432</v>
      </c>
      <c r="M53" s="98">
        <f>SUMIFS($S$64:$S$509,$B$64:$B$509,$B53)</f>
        <v>47466.367825940739</v>
      </c>
      <c r="N53" s="80">
        <f>SUMIFS($V$64:$V$509,$B$64:$B$509,$B53)-SUMIFS($W$64:$W$509,$B$64:$B$509,$B53)</f>
        <v>-5</v>
      </c>
      <c r="O53" s="80">
        <f>SUMIFS($X$64:$X$509,$B$64:$B$509,$B53)</f>
        <v>57</v>
      </c>
      <c r="P53" s="80">
        <f t="shared" si="42"/>
        <v>827.08223285609506</v>
      </c>
      <c r="Q53" s="80">
        <f>SUMIFS($Z$64:$Z$509,$B$64:$B$509,$B53)+SUMIFS($Y$64:$Y$509,$B$64:$B$509,$B53)</f>
        <v>-4384.7502623738301</v>
      </c>
      <c r="R53" s="80">
        <f>SUMIFS($AA$64:$AA$509,$B$64:$B$509,$B53)</f>
        <v>47143.687272797419</v>
      </c>
      <c r="S53" s="97">
        <f>SUMIFS($AD$64:$AD$509,$B$64:$B$509,$B53)-SUMIFS($AE$64:$AE$509,$B$64:$B$509,$B53)</f>
        <v>-4</v>
      </c>
      <c r="T53" s="80">
        <f>SUMIFS($AF$64:$AF$509,$B$64:$B$509,$B53)</f>
        <v>53</v>
      </c>
      <c r="U53" s="80">
        <f t="shared" si="43"/>
        <v>901.88747481250834</v>
      </c>
      <c r="V53" s="80">
        <f>SUMIFS($AH$64:$AH$509,$B$64:$B$509,$B53)+SUMIFS($AG$64:$AG$509,$B$64:$B$509,$B53)</f>
        <v>-3330.2842181950873</v>
      </c>
      <c r="W53" s="98">
        <f>SUMIFS($AI$64:$AI$509,$B$64:$B$509,$B53)</f>
        <v>47800.036165062942</v>
      </c>
      <c r="X53" s="80">
        <f>SUMIFS($AL$64:$AL$509,$B$64:$B$509,$B53)-SUMIFS($AM$64:$AM$509,$B$64:$B$509,$B53)</f>
        <v>0</v>
      </c>
      <c r="Y53" s="80">
        <f>SUMIFS($AN$64:$AN$509,$B$64:$B$509,$B53)</f>
        <v>53</v>
      </c>
      <c r="Z53" s="80">
        <f t="shared" si="44"/>
        <v>976.32009088657674</v>
      </c>
      <c r="AA53" s="80">
        <f>SUMIFS($AP$64:$AP$509,$B$64:$B$509,$B53)+SUMIFS($AO$64:$AO$509,$B$64:$B$509,$B53)</f>
        <v>0</v>
      </c>
      <c r="AB53" s="98">
        <f>SUMIFS($AQ$64:$AQ$509,$B$64:$B$509,$B53)</f>
        <v>51744.96481698857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86</v>
      </c>
      <c r="G54" s="192">
        <f t="shared" si="40"/>
        <v>1012.4152731395349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87067.713489999995</v>
      </c>
      <c r="I54" s="97">
        <f>SUMIFS($N$64:$N$509,$B$64:$B$509,$B54)-SUMIFS($O$64:$O$509,$B$64:$B$509,$B54)</f>
        <v>19</v>
      </c>
      <c r="J54" s="80">
        <f>SUMIFS($P$64:$P$509,$B$64:$B$509,$B54)</f>
        <v>105</v>
      </c>
      <c r="K54" s="80">
        <f t="shared" si="41"/>
        <v>1038.0118515793213</v>
      </c>
      <c r="L54" s="80">
        <f>SUMIFS($R$64:$R$509,$B$64:$B$509,$B54)+SUMIFS($Q$64:$Q$509,$B$64:$B$509,$B54)</f>
        <v>18168.022239433256</v>
      </c>
      <c r="M54" s="98">
        <f>SUMIFS($S$64:$S$509,$B$64:$B$509,$B54)</f>
        <v>108991.24441582873</v>
      </c>
      <c r="N54" s="80">
        <f>SUMIFS($V$64:$V$509,$B$64:$B$509,$B54)-SUMIFS($W$64:$W$509,$B$64:$B$509,$B54)</f>
        <v>0</v>
      </c>
      <c r="O54" s="80">
        <f>SUMIFS($X$64:$X$509,$B$64:$B$509,$B54)</f>
        <v>105</v>
      </c>
      <c r="P54" s="80">
        <f t="shared" si="42"/>
        <v>1116.4035821272059</v>
      </c>
      <c r="Q54" s="80">
        <f>SUMIFS($Z$64:$Z$509,$B$64:$B$509,$B54)+SUMIFS($Y$64:$Y$509,$B$64:$B$509,$B54)</f>
        <v>0</v>
      </c>
      <c r="R54" s="80">
        <f>SUMIFS($AA$64:$AA$509,$B$64:$B$509,$B54)</f>
        <v>117222.37612335662</v>
      </c>
      <c r="S54" s="97">
        <f>SUMIFS($AD$64:$AD$509,$B$64:$B$509,$B54)-SUMIFS($AE$64:$AE$509,$B$64:$B$509,$B54)</f>
        <v>0</v>
      </c>
      <c r="T54" s="80">
        <f>SUMIFS($AF$64:$AF$509,$B$64:$B$509,$B54)</f>
        <v>105</v>
      </c>
      <c r="U54" s="80">
        <f t="shared" si="43"/>
        <v>1199.5828518699466</v>
      </c>
      <c r="V54" s="80">
        <f>SUMIFS($AH$64:$AH$509,$B$64:$B$509,$B54)+SUMIFS($AG$64:$AG$509,$B$64:$B$509,$B54)</f>
        <v>0</v>
      </c>
      <c r="W54" s="98">
        <f>SUMIFS($AI$64:$AI$509,$B$64:$B$509,$B54)</f>
        <v>125956.19944634438</v>
      </c>
      <c r="X54" s="80">
        <f>SUMIFS($AL$64:$AL$509,$B$64:$B$509,$B54)-SUMIFS($AM$64:$AM$509,$B$64:$B$509,$B54)</f>
        <v>0</v>
      </c>
      <c r="Y54" s="80">
        <f>SUMIFS($AN$64:$AN$509,$B$64:$B$509,$B54)</f>
        <v>105</v>
      </c>
      <c r="Z54" s="80">
        <f t="shared" si="44"/>
        <v>1286.525287942442</v>
      </c>
      <c r="AA54" s="80">
        <f>SUMIFS($AP$64:$AP$509,$B$64:$B$509,$B54)+SUMIFS($AO$64:$AO$509,$B$64:$B$509,$B54)</f>
        <v>0</v>
      </c>
      <c r="AB54" s="98">
        <f>SUMIFS($AQ$64:$AQ$509,$B$64:$B$509,$B54)</f>
        <v>135085.15523395641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2105.5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4211</v>
      </c>
      <c r="I55" s="101">
        <f>SUMIFS($N$64:$N$509,$B$64:$B$509,$B55)-SUMIFS($O$64:$O$509,$B$64:$B$509,$B55)</f>
        <v>16</v>
      </c>
      <c r="J55" s="102">
        <f>SUMIFS($P$64:$P$509,$B$64:$B$509,$B55)</f>
        <v>18</v>
      </c>
      <c r="K55" s="102">
        <f t="shared" si="41"/>
        <v>241.6646111111111</v>
      </c>
      <c r="L55" s="102">
        <f>SUMIFS($R$64:$R$509,$B$64:$B$509,$B55)+SUMIFS($Q$64:$Q$509,$B$64:$B$509,$B55)</f>
        <v>0</v>
      </c>
      <c r="M55" s="103">
        <f>SUMIFS($S$64:$S$509,$B$64:$B$509,$B55)</f>
        <v>4349.9629999999997</v>
      </c>
      <c r="N55" s="80">
        <f>SUMIFS($V$64:$V$509,$B$64:$B$509,$B55)-SUMIFS($W$64:$W$509,$B$64:$B$509,$B55)</f>
        <v>0</v>
      </c>
      <c r="O55" s="80">
        <f>SUMIFS($X$64:$X$509,$B$64:$B$509,$B55)</f>
        <v>18</v>
      </c>
      <c r="P55" s="80">
        <f t="shared" si="42"/>
        <v>256.16448777777777</v>
      </c>
      <c r="Q55" s="80">
        <f>SUMIFS($Z$64:$Z$509,$B$64:$B$509,$B55)+SUMIFS($Y$64:$Y$509,$B$64:$B$509,$B55)</f>
        <v>0</v>
      </c>
      <c r="R55" s="80">
        <f>SUMIFS($AA$64:$AA$509,$B$64:$B$509,$B55)</f>
        <v>4610.9607799999994</v>
      </c>
      <c r="S55" s="101">
        <f>SUMIFS($AD$64:$AD$509,$B$64:$B$509,$B55)-SUMIFS($AE$64:$AE$509,$B$64:$B$509,$B55)</f>
        <v>0</v>
      </c>
      <c r="T55" s="102">
        <f>SUMIFS($AF$64:$AF$509,$B$64:$B$509,$B55)</f>
        <v>18</v>
      </c>
      <c r="U55" s="102">
        <f t="shared" si="43"/>
        <v>271.27819255666668</v>
      </c>
      <c r="V55" s="102">
        <f>SUMIFS($AH$64:$AH$509,$B$64:$B$509,$B55)+SUMIFS($AG$64:$AG$509,$B$64:$B$509,$B55)</f>
        <v>0</v>
      </c>
      <c r="W55" s="103">
        <f>SUMIFS($AI$64:$AI$509,$B$64:$B$509,$B55)</f>
        <v>4883.0074660199998</v>
      </c>
      <c r="X55" s="80">
        <f>SUMIFS($AL$64:$AL$509,$B$64:$B$509,$B55)-SUMIFS($AM$64:$AM$509,$B$64:$B$509,$B55)</f>
        <v>0</v>
      </c>
      <c r="Y55" s="80">
        <f>SUMIFS($AN$64:$AN$509,$B$64:$B$509,$B55)</f>
        <v>18</v>
      </c>
      <c r="Z55" s="80">
        <f t="shared" si="44"/>
        <v>286.74104953239669</v>
      </c>
      <c r="AA55" s="80">
        <f>SUMIFS($AP$64:$AP$509,$B$64:$B$509,$B55)+SUMIFS($AO$64:$AO$509,$B$64:$B$509,$B55)</f>
        <v>0</v>
      </c>
      <c r="AB55" s="98">
        <f>SUMIFS($AQ$64:$AQ$509,$B$64:$B$509,$B55)</f>
        <v>5161.3388915831401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275</v>
      </c>
      <c r="G56" s="92">
        <f t="shared" ref="G56" si="45">IFERROR(H56/F56,0)</f>
        <v>658.1072277818181</v>
      </c>
      <c r="H56" s="92">
        <f>SUM(H51:H55)</f>
        <v>180979.48763999998</v>
      </c>
      <c r="I56" s="92">
        <f>SUM(I51:I55)</f>
        <v>41</v>
      </c>
      <c r="J56" s="92">
        <f>SUM(J51:J55)</f>
        <v>316</v>
      </c>
      <c r="K56" s="92">
        <f t="shared" si="41"/>
        <v>668.30151207695519</v>
      </c>
      <c r="L56" s="92">
        <f>SUM(L51:L55)</f>
        <v>20225.84100142886</v>
      </c>
      <c r="M56" s="92">
        <f>SUM(M51:M55)</f>
        <v>211183.27781631783</v>
      </c>
      <c r="N56" s="92">
        <f t="shared" ref="N56:O56" si="46">SUM(N51:N55)</f>
        <v>-14</v>
      </c>
      <c r="O56" s="92">
        <f t="shared" si="46"/>
        <v>302</v>
      </c>
      <c r="P56" s="92">
        <f>IFERROR(R56/O56,0)</f>
        <v>727.88288451439348</v>
      </c>
      <c r="Q56" s="92">
        <f t="shared" ref="Q56" si="47">SUM(Q51:Q55)</f>
        <v>-8205.3687157809545</v>
      </c>
      <c r="R56" s="92">
        <f t="shared" ref="R56:T56" si="48">SUM(R51:R55)</f>
        <v>219820.63112334683</v>
      </c>
      <c r="S56" s="92">
        <f t="shared" si="48"/>
        <v>-11</v>
      </c>
      <c r="T56" s="92">
        <f t="shared" si="48"/>
        <v>291</v>
      </c>
      <c r="U56" s="92">
        <f>IFERROR(W56/T56,0)</f>
        <v>790.34950722297947</v>
      </c>
      <c r="V56" s="92">
        <f t="shared" ref="V56" si="49">SUM(V51:V55)</f>
        <v>-7098.282157454405</v>
      </c>
      <c r="W56" s="92">
        <f t="shared" ref="W56:Y56" si="50">SUM(W51:W55)</f>
        <v>229991.70660188701</v>
      </c>
      <c r="X56" s="92">
        <f t="shared" si="50"/>
        <v>0</v>
      </c>
      <c r="Y56" s="92">
        <f t="shared" si="50"/>
        <v>291</v>
      </c>
      <c r="Z56" s="92">
        <f>IFERROR(AB56/Y56,0)</f>
        <v>850.71897852142695</v>
      </c>
      <c r="AA56" s="92">
        <f t="shared" ref="AA56" si="51">SUM(AA51:AA55)</f>
        <v>0</v>
      </c>
      <c r="AB56" s="104">
        <f t="shared" ref="AB56" si="52">SUM(AB51:AB55)</f>
        <v>247559.22274973523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10</v>
      </c>
      <c r="G68" s="35">
        <f>SUMIFS(WORKING!$AC$3:$AC$6802,WORKING!$A$3:$A$6802,Results!$D$3,WORKING!$B$3:$B$6802,Results!A68,WORKING!$C$3:$C$6802,Results!C68)/1000</f>
        <v>2402.5393299999996</v>
      </c>
      <c r="H68" s="35">
        <f t="shared" si="60"/>
        <v>240.25393299999996</v>
      </c>
      <c r="I68" s="187" t="s">
        <v>754</v>
      </c>
      <c r="J68" s="212" t="s">
        <v>754</v>
      </c>
      <c r="K68" s="217">
        <f t="shared" si="61"/>
        <v>240.25393299999996</v>
      </c>
      <c r="L68" s="34">
        <f t="shared" si="54"/>
        <v>10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260.99387880974598</v>
      </c>
      <c r="N68" s="57">
        <v>0</v>
      </c>
      <c r="O68" s="57">
        <v>1</v>
      </c>
      <c r="P68" s="61">
        <f t="shared" si="55"/>
        <v>9</v>
      </c>
      <c r="Q68" s="40">
        <f t="shared" si="62"/>
        <v>0</v>
      </c>
      <c r="R68" s="40">
        <f t="shared" si="63"/>
        <v>-260.99387880974598</v>
      </c>
      <c r="S68" s="44">
        <f t="shared" si="64"/>
        <v>2348.9449092877139</v>
      </c>
      <c r="T68" s="35">
        <f t="shared" si="65"/>
        <v>9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283.01830547414653</v>
      </c>
      <c r="V68" s="57">
        <v>0</v>
      </c>
      <c r="W68" s="57">
        <v>2</v>
      </c>
      <c r="X68" s="61">
        <f t="shared" si="56"/>
        <v>7</v>
      </c>
      <c r="Y68" s="40">
        <f t="shared" si="66"/>
        <v>0</v>
      </c>
      <c r="Z68" s="40">
        <f t="shared" si="67"/>
        <v>-566.03661094829306</v>
      </c>
      <c r="AA68" s="44">
        <f t="shared" si="68"/>
        <v>1981.1281383190258</v>
      </c>
      <c r="AB68" s="35">
        <f t="shared" si="69"/>
        <v>7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306.61464140000959</v>
      </c>
      <c r="AD68" s="57">
        <v>0</v>
      </c>
      <c r="AE68" s="57">
        <v>0</v>
      </c>
      <c r="AF68" s="61">
        <f t="shared" si="57"/>
        <v>7</v>
      </c>
      <c r="AG68" s="40">
        <f t="shared" si="70"/>
        <v>0</v>
      </c>
      <c r="AH68" s="40">
        <f t="shared" si="71"/>
        <v>0</v>
      </c>
      <c r="AI68" s="44">
        <f t="shared" si="72"/>
        <v>2146.3024898000672</v>
      </c>
      <c r="AJ68" s="35">
        <f t="shared" si="58"/>
        <v>7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331.55717422458952</v>
      </c>
      <c r="AL68" s="57">
        <v>0</v>
      </c>
      <c r="AM68" s="57">
        <v>0</v>
      </c>
      <c r="AN68" s="61">
        <f t="shared" si="59"/>
        <v>7</v>
      </c>
      <c r="AO68" s="40">
        <f t="shared" si="73"/>
        <v>0</v>
      </c>
      <c r="AP68" s="40">
        <f t="shared" si="74"/>
        <v>0</v>
      </c>
      <c r="AQ68" s="44">
        <f t="shared" si="75"/>
        <v>2320.9002195721268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</v>
      </c>
      <c r="G69" s="35">
        <f>SUMIFS(WORKING!$AC$3:$AC$6802,WORKING!$A$3:$A$6802,Results!$D$3,WORKING!$B$3:$B$6802,Results!A69,WORKING!$C$3:$C$6802,Results!C69)/1000</f>
        <v>1509.7293100000004</v>
      </c>
      <c r="H69" s="35">
        <f t="shared" si="60"/>
        <v>503.24310333333347</v>
      </c>
      <c r="I69" s="187" t="s">
        <v>754</v>
      </c>
      <c r="J69" s="212" t="s">
        <v>754</v>
      </c>
      <c r="K69" s="217">
        <f t="shared" si="61"/>
        <v>503.24310333333347</v>
      </c>
      <c r="L69" s="34">
        <f t="shared" si="54"/>
        <v>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547.75651080145735</v>
      </c>
      <c r="N69" s="57">
        <v>0</v>
      </c>
      <c r="O69" s="57">
        <v>0</v>
      </c>
      <c r="P69" s="61">
        <f t="shared" si="55"/>
        <v>3</v>
      </c>
      <c r="Q69" s="40">
        <f t="shared" si="62"/>
        <v>0</v>
      </c>
      <c r="R69" s="40">
        <f t="shared" si="63"/>
        <v>0</v>
      </c>
      <c r="S69" s="44">
        <f t="shared" si="64"/>
        <v>1643.2695324043721</v>
      </c>
      <c r="T69" s="35">
        <f t="shared" si="65"/>
        <v>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594.31084769146207</v>
      </c>
      <c r="V69" s="57">
        <v>0</v>
      </c>
      <c r="W69" s="57">
        <v>0</v>
      </c>
      <c r="X69" s="61">
        <f t="shared" si="56"/>
        <v>3</v>
      </c>
      <c r="Y69" s="40">
        <f t="shared" si="66"/>
        <v>0</v>
      </c>
      <c r="Z69" s="40">
        <f t="shared" si="67"/>
        <v>0</v>
      </c>
      <c r="AA69" s="44">
        <f t="shared" si="68"/>
        <v>1782.9325430743861</v>
      </c>
      <c r="AB69" s="35">
        <f t="shared" si="69"/>
        <v>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644.21958367954471</v>
      </c>
      <c r="AD69" s="57">
        <v>0</v>
      </c>
      <c r="AE69" s="57">
        <v>0</v>
      </c>
      <c r="AF69" s="61">
        <f t="shared" si="57"/>
        <v>3</v>
      </c>
      <c r="AG69" s="40">
        <f t="shared" si="70"/>
        <v>0</v>
      </c>
      <c r="AH69" s="40">
        <f t="shared" si="71"/>
        <v>0</v>
      </c>
      <c r="AI69" s="44">
        <f t="shared" si="72"/>
        <v>1932.6587510386341</v>
      </c>
      <c r="AJ69" s="35">
        <f t="shared" si="58"/>
        <v>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697.01377655996396</v>
      </c>
      <c r="AL69" s="57">
        <v>0</v>
      </c>
      <c r="AM69" s="57">
        <v>0</v>
      </c>
      <c r="AN69" s="61">
        <f t="shared" si="59"/>
        <v>3</v>
      </c>
      <c r="AO69" s="40">
        <f t="shared" si="73"/>
        <v>0</v>
      </c>
      <c r="AP69" s="40">
        <f t="shared" si="74"/>
        <v>0</v>
      </c>
      <c r="AQ69" s="44">
        <f t="shared" si="75"/>
        <v>2091.041329679892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10</v>
      </c>
      <c r="G70" s="35">
        <f>SUMIFS(WORKING!$AC$3:$AC$6802,WORKING!$A$3:$A$6802,Results!$D$3,WORKING!$B$3:$B$6802,Results!A70,WORKING!$C$3:$C$6802,Results!C70)/1000</f>
        <v>3658.7001299999993</v>
      </c>
      <c r="H70" s="35">
        <f t="shared" si="60"/>
        <v>365.87001299999991</v>
      </c>
      <c r="I70" s="187" t="s">
        <v>754</v>
      </c>
      <c r="J70" s="212" t="s">
        <v>754</v>
      </c>
      <c r="K70" s="217">
        <f t="shared" si="61"/>
        <v>365.87001299999991</v>
      </c>
      <c r="L70" s="34">
        <f t="shared" si="54"/>
        <v>10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398.29353102891247</v>
      </c>
      <c r="N70" s="57">
        <v>1</v>
      </c>
      <c r="O70" s="57">
        <v>0</v>
      </c>
      <c r="P70" s="61">
        <f t="shared" si="55"/>
        <v>11</v>
      </c>
      <c r="Q70" s="40">
        <f t="shared" si="62"/>
        <v>398.29353102891247</v>
      </c>
      <c r="R70" s="40">
        <f t="shared" si="63"/>
        <v>0</v>
      </c>
      <c r="S70" s="44">
        <f t="shared" si="64"/>
        <v>4381.2288413180368</v>
      </c>
      <c r="T70" s="35">
        <f t="shared" si="65"/>
        <v>11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432.16555084325199</v>
      </c>
      <c r="V70" s="57">
        <v>0</v>
      </c>
      <c r="W70" s="57">
        <v>0</v>
      </c>
      <c r="X70" s="61">
        <f t="shared" si="56"/>
        <v>11</v>
      </c>
      <c r="Y70" s="40">
        <f t="shared" si="66"/>
        <v>0</v>
      </c>
      <c r="Z70" s="40">
        <f t="shared" si="67"/>
        <v>0</v>
      </c>
      <c r="AA70" s="44">
        <f t="shared" si="68"/>
        <v>4753.8210592757723</v>
      </c>
      <c r="AB70" s="35">
        <f t="shared" si="69"/>
        <v>11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468.48007035061403</v>
      </c>
      <c r="AD70" s="57">
        <v>0</v>
      </c>
      <c r="AE70" s="57">
        <v>0</v>
      </c>
      <c r="AF70" s="61">
        <f t="shared" si="57"/>
        <v>11</v>
      </c>
      <c r="AG70" s="40">
        <f t="shared" si="70"/>
        <v>0</v>
      </c>
      <c r="AH70" s="40">
        <f t="shared" si="71"/>
        <v>0</v>
      </c>
      <c r="AI70" s="44">
        <f t="shared" si="72"/>
        <v>5153.2807738567544</v>
      </c>
      <c r="AJ70" s="35">
        <f t="shared" si="58"/>
        <v>11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506.89630014227038</v>
      </c>
      <c r="AL70" s="57">
        <v>0</v>
      </c>
      <c r="AM70" s="57">
        <v>0</v>
      </c>
      <c r="AN70" s="61">
        <f t="shared" si="59"/>
        <v>11</v>
      </c>
      <c r="AO70" s="40">
        <f t="shared" si="73"/>
        <v>0</v>
      </c>
      <c r="AP70" s="40">
        <f t="shared" si="74"/>
        <v>0</v>
      </c>
      <c r="AQ70" s="44">
        <f t="shared" si="75"/>
        <v>5575.859301564974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27</v>
      </c>
      <c r="G71" s="35">
        <f>SUMIFS(WORKING!$AC$3:$AC$6802,WORKING!$A$3:$A$6802,Results!$D$3,WORKING!$B$3:$B$6802,Results!A71,WORKING!$C$3:$C$6802,Results!C71)/1000</f>
        <v>9916.9260299999987</v>
      </c>
      <c r="H71" s="35">
        <f>IFERROR(G71/F71,0)</f>
        <v>367.29355666666663</v>
      </c>
      <c r="I71" s="187" t="s">
        <v>754</v>
      </c>
      <c r="J71" s="212">
        <v>9938</v>
      </c>
      <c r="K71" s="217">
        <f t="shared" si="61"/>
        <v>368.07407407407408</v>
      </c>
      <c r="L71" s="34">
        <f t="shared" si="54"/>
        <v>27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400.82917300502913</v>
      </c>
      <c r="N71" s="57">
        <v>4</v>
      </c>
      <c r="O71" s="57">
        <v>0</v>
      </c>
      <c r="P71" s="61">
        <f t="shared" si="55"/>
        <v>31</v>
      </c>
      <c r="Q71" s="40">
        <f t="shared" si="62"/>
        <v>1603.3166920201165</v>
      </c>
      <c r="R71" s="40">
        <f t="shared" si="63"/>
        <v>0</v>
      </c>
      <c r="S71" s="44">
        <f t="shared" si="64"/>
        <v>12425.704363155903</v>
      </c>
      <c r="T71" s="35">
        <f t="shared" si="65"/>
        <v>31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434.96027139677602</v>
      </c>
      <c r="V71" s="57">
        <v>0</v>
      </c>
      <c r="W71" s="57">
        <v>2</v>
      </c>
      <c r="X71" s="61">
        <f t="shared" si="56"/>
        <v>29</v>
      </c>
      <c r="Y71" s="40">
        <f t="shared" si="66"/>
        <v>0</v>
      </c>
      <c r="Z71" s="40">
        <f t="shared" si="67"/>
        <v>-869.92054279355204</v>
      </c>
      <c r="AA71" s="44">
        <f t="shared" si="68"/>
        <v>12613.847870506504</v>
      </c>
      <c r="AB71" s="35">
        <f t="shared" si="69"/>
        <v>29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471.55666176033094</v>
      </c>
      <c r="AD71" s="57">
        <v>0</v>
      </c>
      <c r="AE71" s="57">
        <v>1</v>
      </c>
      <c r="AF71" s="61">
        <f t="shared" si="57"/>
        <v>28</v>
      </c>
      <c r="AG71" s="40">
        <f t="shared" si="70"/>
        <v>0</v>
      </c>
      <c r="AH71" s="40">
        <f t="shared" si="71"/>
        <v>-471.55666176033094</v>
      </c>
      <c r="AI71" s="44">
        <f t="shared" si="72"/>
        <v>13203.586529289267</v>
      </c>
      <c r="AJ71" s="35">
        <f t="shared" si="58"/>
        <v>28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510.27593661061894</v>
      </c>
      <c r="AL71" s="57">
        <v>0</v>
      </c>
      <c r="AM71" s="57">
        <v>0</v>
      </c>
      <c r="AN71" s="61">
        <f t="shared" si="59"/>
        <v>28</v>
      </c>
      <c r="AO71" s="40">
        <f t="shared" si="73"/>
        <v>0</v>
      </c>
      <c r="AP71" s="40">
        <f t="shared" si="74"/>
        <v>0</v>
      </c>
      <c r="AQ71" s="44">
        <f t="shared" si="75"/>
        <v>14287.726225097331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24</v>
      </c>
      <c r="G72" s="35">
        <f>SUMIFS(WORKING!$AC$3:$AC$6802,WORKING!$A$3:$A$6802,Results!$D$3,WORKING!$B$3:$B$6802,Results!A72,WORKING!$C$3:$C$6802,Results!C72)/1000</f>
        <v>10599.184600000001</v>
      </c>
      <c r="H72" s="35">
        <f t="shared" si="60"/>
        <v>441.63269166666669</v>
      </c>
      <c r="I72" s="187" t="s">
        <v>754</v>
      </c>
      <c r="J72" s="212">
        <v>10636</v>
      </c>
      <c r="K72" s="217">
        <f>IFERROR(IF(J72="",G72,J72)/IF(I72="",F72,I72),"")</f>
        <v>443.16666666666669</v>
      </c>
      <c r="L72" s="34">
        <f t="shared" si="54"/>
        <v>24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482.87963224926017</v>
      </c>
      <c r="N72" s="57">
        <v>0</v>
      </c>
      <c r="O72" s="57">
        <v>0</v>
      </c>
      <c r="P72" s="61">
        <f t="shared" si="55"/>
        <v>24</v>
      </c>
      <c r="Q72" s="40">
        <f t="shared" si="62"/>
        <v>0</v>
      </c>
      <c r="R72" s="40">
        <f t="shared" si="63"/>
        <v>0</v>
      </c>
      <c r="S72" s="44">
        <f t="shared" si="64"/>
        <v>11589.111173982245</v>
      </c>
      <c r="T72" s="35">
        <f t="shared" si="65"/>
        <v>24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524.08283251824798</v>
      </c>
      <c r="V72" s="57">
        <v>0</v>
      </c>
      <c r="W72" s="57">
        <v>3</v>
      </c>
      <c r="X72" s="61">
        <f t="shared" si="56"/>
        <v>21</v>
      </c>
      <c r="Y72" s="40">
        <f t="shared" si="66"/>
        <v>0</v>
      </c>
      <c r="Z72" s="40">
        <f t="shared" si="67"/>
        <v>-1572.2484975547441</v>
      </c>
      <c r="AA72" s="44">
        <f t="shared" si="68"/>
        <v>11005.739482883208</v>
      </c>
      <c r="AB72" s="35">
        <f t="shared" si="69"/>
        <v>21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568.27034747597781</v>
      </c>
      <c r="AD72" s="57">
        <v>0</v>
      </c>
      <c r="AE72" s="57">
        <v>1</v>
      </c>
      <c r="AF72" s="61">
        <f t="shared" si="57"/>
        <v>20</v>
      </c>
      <c r="AG72" s="40">
        <f t="shared" si="70"/>
        <v>0</v>
      </c>
      <c r="AH72" s="40">
        <f t="shared" si="71"/>
        <v>-568.27034747597781</v>
      </c>
      <c r="AI72" s="44">
        <f t="shared" si="72"/>
        <v>11365.406949519556</v>
      </c>
      <c r="AJ72" s="35">
        <f t="shared" si="58"/>
        <v>20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615.03091443583025</v>
      </c>
      <c r="AL72" s="57">
        <v>0</v>
      </c>
      <c r="AM72" s="57">
        <v>0</v>
      </c>
      <c r="AN72" s="61">
        <f t="shared" si="59"/>
        <v>20</v>
      </c>
      <c r="AO72" s="40">
        <f t="shared" si="73"/>
        <v>0</v>
      </c>
      <c r="AP72" s="40">
        <f t="shared" si="74"/>
        <v>0</v>
      </c>
      <c r="AQ72" s="44">
        <f t="shared" si="75"/>
        <v>12300.618288716605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4</v>
      </c>
      <c r="G73" s="35">
        <f>SUMIFS(WORKING!$AC$3:$AC$6802,WORKING!$A$3:$A$6802,Results!$D$3,WORKING!$B$3:$B$6802,Results!A73,WORKING!$C$3:$C$6802,Results!C73)/1000</f>
        <v>2233.6564699999999</v>
      </c>
      <c r="H73" s="35">
        <f t="shared" si="60"/>
        <v>558.41411749999997</v>
      </c>
      <c r="I73" s="187" t="s">
        <v>754</v>
      </c>
      <c r="J73" s="212" t="s">
        <v>754</v>
      </c>
      <c r="K73" s="217">
        <f t="shared" si="61"/>
        <v>558.41411749999997</v>
      </c>
      <c r="L73" s="34">
        <f t="shared" si="54"/>
        <v>4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608.89813331236337</v>
      </c>
      <c r="N73" s="57">
        <v>0</v>
      </c>
      <c r="O73" s="57">
        <v>1</v>
      </c>
      <c r="P73" s="61">
        <f t="shared" si="55"/>
        <v>3</v>
      </c>
      <c r="Q73" s="40">
        <f t="shared" si="62"/>
        <v>0</v>
      </c>
      <c r="R73" s="40">
        <f t="shared" si="63"/>
        <v>-608.89813331236337</v>
      </c>
      <c r="S73" s="44">
        <f t="shared" si="64"/>
        <v>1826.6943999370901</v>
      </c>
      <c r="T73" s="35">
        <f t="shared" si="65"/>
        <v>3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660.9925510818631</v>
      </c>
      <c r="V73" s="57">
        <v>0</v>
      </c>
      <c r="W73" s="57">
        <v>0</v>
      </c>
      <c r="X73" s="61">
        <f t="shared" si="56"/>
        <v>3</v>
      </c>
      <c r="Y73" s="40">
        <f t="shared" si="66"/>
        <v>0</v>
      </c>
      <c r="Z73" s="40">
        <f t="shared" si="67"/>
        <v>0</v>
      </c>
      <c r="AA73" s="44">
        <f t="shared" si="68"/>
        <v>1982.9776532455894</v>
      </c>
      <c r="AB73" s="35">
        <f t="shared" si="69"/>
        <v>3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716.87340401310496</v>
      </c>
      <c r="AD73" s="57">
        <v>0</v>
      </c>
      <c r="AE73" s="57">
        <v>0</v>
      </c>
      <c r="AF73" s="61">
        <f t="shared" si="57"/>
        <v>3</v>
      </c>
      <c r="AG73" s="40">
        <f t="shared" si="70"/>
        <v>0</v>
      </c>
      <c r="AH73" s="40">
        <f t="shared" si="71"/>
        <v>0</v>
      </c>
      <c r="AI73" s="44">
        <f t="shared" si="72"/>
        <v>2150.620212039315</v>
      </c>
      <c r="AJ73" s="35">
        <f t="shared" si="58"/>
        <v>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776.02406931656276</v>
      </c>
      <c r="AL73" s="57">
        <v>0</v>
      </c>
      <c r="AM73" s="57">
        <v>0</v>
      </c>
      <c r="AN73" s="61">
        <f t="shared" si="59"/>
        <v>3</v>
      </c>
      <c r="AO73" s="40">
        <f t="shared" si="73"/>
        <v>0</v>
      </c>
      <c r="AP73" s="40">
        <f t="shared" si="74"/>
        <v>0</v>
      </c>
      <c r="AQ73" s="44">
        <f t="shared" si="75"/>
        <v>2328.0722079496882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24</v>
      </c>
      <c r="G74" s="35">
        <f>SUMIFS(WORKING!$AC$3:$AC$6802,WORKING!$A$3:$A$6802,Results!$D$3,WORKING!$B$3:$B$6802,Results!A74,WORKING!$C$3:$C$6802,Results!C74)/1000</f>
        <v>16565.485330000007</v>
      </c>
      <c r="H74" s="35">
        <f t="shared" si="60"/>
        <v>690.22855541666695</v>
      </c>
      <c r="I74" s="187" t="s">
        <v>754</v>
      </c>
      <c r="J74" s="212">
        <v>16611</v>
      </c>
      <c r="K74" s="217">
        <f t="shared" si="61"/>
        <v>692.125</v>
      </c>
      <c r="L74" s="34">
        <f t="shared" si="54"/>
        <v>24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755.53198300171562</v>
      </c>
      <c r="N74" s="57">
        <v>3</v>
      </c>
      <c r="O74" s="57">
        <v>0</v>
      </c>
      <c r="P74" s="61">
        <f t="shared" si="55"/>
        <v>27</v>
      </c>
      <c r="Q74" s="40">
        <f t="shared" si="62"/>
        <v>2266.5959490051468</v>
      </c>
      <c r="R74" s="40">
        <f t="shared" si="63"/>
        <v>0</v>
      </c>
      <c r="S74" s="44">
        <f t="shared" si="64"/>
        <v>20399.363541046321</v>
      </c>
      <c r="T74" s="35">
        <f t="shared" si="65"/>
        <v>27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820.14884357170047</v>
      </c>
      <c r="V74" s="57">
        <v>0</v>
      </c>
      <c r="W74" s="57">
        <v>3</v>
      </c>
      <c r="X74" s="61">
        <f t="shared" si="56"/>
        <v>24</v>
      </c>
      <c r="Y74" s="40">
        <f t="shared" si="66"/>
        <v>0</v>
      </c>
      <c r="Z74" s="40">
        <f t="shared" si="67"/>
        <v>-2460.4465307151013</v>
      </c>
      <c r="AA74" s="44">
        <f t="shared" si="68"/>
        <v>19683.57224572081</v>
      </c>
      <c r="AB74" s="35">
        <f t="shared" si="69"/>
        <v>24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889.46001143771662</v>
      </c>
      <c r="AD74" s="57">
        <v>0</v>
      </c>
      <c r="AE74" s="57">
        <v>1</v>
      </c>
      <c r="AF74" s="61">
        <f t="shared" si="57"/>
        <v>23</v>
      </c>
      <c r="AG74" s="40">
        <f t="shared" si="70"/>
        <v>0</v>
      </c>
      <c r="AH74" s="40">
        <f t="shared" si="71"/>
        <v>-889.46001143771662</v>
      </c>
      <c r="AI74" s="44">
        <f t="shared" si="72"/>
        <v>20457.580263067481</v>
      </c>
      <c r="AJ74" s="35">
        <f t="shared" si="58"/>
        <v>23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962.82396802114397</v>
      </c>
      <c r="AL74" s="57">
        <v>0</v>
      </c>
      <c r="AM74" s="57">
        <v>0</v>
      </c>
      <c r="AN74" s="61">
        <f t="shared" si="59"/>
        <v>23</v>
      </c>
      <c r="AO74" s="40">
        <f t="shared" si="73"/>
        <v>0</v>
      </c>
      <c r="AP74" s="40">
        <f t="shared" si="74"/>
        <v>0</v>
      </c>
      <c r="AQ74" s="44">
        <f t="shared" si="75"/>
        <v>22144.95126448631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5</v>
      </c>
      <c r="G75" s="35">
        <f>SUMIFS(WORKING!$AC$3:$AC$6802,WORKING!$A$3:$A$6802,Results!$D$3,WORKING!$B$3:$B$6802,Results!A75,WORKING!$C$3:$C$6802,Results!C75)/1000</f>
        <v>4647.5337800000007</v>
      </c>
      <c r="H75" s="35">
        <f t="shared" si="60"/>
        <v>929.50675600000011</v>
      </c>
      <c r="I75" s="187" t="s">
        <v>754</v>
      </c>
      <c r="J75" s="212" t="s">
        <v>754</v>
      </c>
      <c r="K75" s="217">
        <f t="shared" si="61"/>
        <v>929.50675600000011</v>
      </c>
      <c r="L75" s="34">
        <f t="shared" si="54"/>
        <v>5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1014.8443516118003</v>
      </c>
      <c r="N75" s="57">
        <v>0</v>
      </c>
      <c r="O75" s="57">
        <v>0</v>
      </c>
      <c r="P75" s="61">
        <f t="shared" si="55"/>
        <v>5</v>
      </c>
      <c r="Q75" s="40">
        <f t="shared" si="62"/>
        <v>0</v>
      </c>
      <c r="R75" s="40">
        <f t="shared" si="63"/>
        <v>0</v>
      </c>
      <c r="S75" s="44">
        <f t="shared" si="64"/>
        <v>5074.2217580590013</v>
      </c>
      <c r="T75" s="35">
        <f t="shared" si="65"/>
        <v>5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1101.838221266373</v>
      </c>
      <c r="V75" s="57">
        <v>0</v>
      </c>
      <c r="W75" s="57">
        <v>1</v>
      </c>
      <c r="X75" s="61">
        <f t="shared" si="56"/>
        <v>4</v>
      </c>
      <c r="Y75" s="40">
        <f t="shared" si="66"/>
        <v>0</v>
      </c>
      <c r="Z75" s="40">
        <f t="shared" si="67"/>
        <v>-1101.838221266373</v>
      </c>
      <c r="AA75" s="44">
        <f t="shared" si="68"/>
        <v>4407.352885065492</v>
      </c>
      <c r="AB75" s="35">
        <f t="shared" si="69"/>
        <v>4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1195.1712990442461</v>
      </c>
      <c r="AD75" s="57">
        <v>0</v>
      </c>
      <c r="AE75" s="57">
        <v>0</v>
      </c>
      <c r="AF75" s="61">
        <f t="shared" si="57"/>
        <v>4</v>
      </c>
      <c r="AG75" s="40">
        <f t="shared" si="70"/>
        <v>0</v>
      </c>
      <c r="AH75" s="40">
        <f t="shared" si="71"/>
        <v>0</v>
      </c>
      <c r="AI75" s="44">
        <f t="shared" si="72"/>
        <v>4780.6851961769844</v>
      </c>
      <c r="AJ75" s="35">
        <f t="shared" si="58"/>
        <v>4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1293.9848500458727</v>
      </c>
      <c r="AL75" s="57">
        <v>0</v>
      </c>
      <c r="AM75" s="57">
        <v>0</v>
      </c>
      <c r="AN75" s="61">
        <f t="shared" si="59"/>
        <v>4</v>
      </c>
      <c r="AO75" s="40">
        <f t="shared" si="73"/>
        <v>0</v>
      </c>
      <c r="AP75" s="40">
        <f t="shared" si="74"/>
        <v>0</v>
      </c>
      <c r="AQ75" s="44">
        <f t="shared" si="75"/>
        <v>5175.9394001834908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22</v>
      </c>
      <c r="G76" s="35">
        <f>SUMIFS(WORKING!$AC$3:$AC$6802,WORKING!$A$3:$A$6802,Results!$D$3,WORKING!$B$3:$B$6802,Results!A76,WORKING!$C$3:$C$6802,Results!C76)/1000</f>
        <v>20811.833100000011</v>
      </c>
      <c r="H76" s="35">
        <f t="shared" si="60"/>
        <v>945.99241363636418</v>
      </c>
      <c r="I76" s="187" t="s">
        <v>754</v>
      </c>
      <c r="J76" s="212" t="s">
        <v>754</v>
      </c>
      <c r="K76" s="217">
        <f t="shared" si="61"/>
        <v>945.99241363636418</v>
      </c>
      <c r="L76" s="34">
        <f t="shared" si="54"/>
        <v>22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991.66486315283919</v>
      </c>
      <c r="N76" s="57">
        <v>2</v>
      </c>
      <c r="O76" s="57">
        <v>0</v>
      </c>
      <c r="P76" s="61">
        <f t="shared" si="55"/>
        <v>24</v>
      </c>
      <c r="Q76" s="40">
        <f t="shared" si="62"/>
        <v>1983.3297263056784</v>
      </c>
      <c r="R76" s="40">
        <f t="shared" si="63"/>
        <v>0</v>
      </c>
      <c r="S76" s="44">
        <f t="shared" si="64"/>
        <v>23799.956715668141</v>
      </c>
      <c r="T76" s="35">
        <f t="shared" si="65"/>
        <v>24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1066.7133765320727</v>
      </c>
      <c r="V76" s="57">
        <v>0</v>
      </c>
      <c r="W76" s="57">
        <v>0</v>
      </c>
      <c r="X76" s="61">
        <f t="shared" si="56"/>
        <v>24</v>
      </c>
      <c r="Y76" s="40">
        <f t="shared" si="66"/>
        <v>0</v>
      </c>
      <c r="Z76" s="40">
        <f t="shared" si="67"/>
        <v>0</v>
      </c>
      <c r="AA76" s="44">
        <f t="shared" si="68"/>
        <v>25601.121036769746</v>
      </c>
      <c r="AB76" s="35">
        <f t="shared" si="69"/>
        <v>24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1146.3590176894852</v>
      </c>
      <c r="AD76" s="57">
        <v>0</v>
      </c>
      <c r="AE76" s="57">
        <v>0</v>
      </c>
      <c r="AF76" s="61">
        <f t="shared" si="57"/>
        <v>24</v>
      </c>
      <c r="AG76" s="40">
        <f t="shared" si="70"/>
        <v>0</v>
      </c>
      <c r="AH76" s="40">
        <f t="shared" si="71"/>
        <v>0</v>
      </c>
      <c r="AI76" s="44">
        <f t="shared" si="72"/>
        <v>27512.616424547647</v>
      </c>
      <c r="AJ76" s="35">
        <f t="shared" si="58"/>
        <v>24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1229.6247308653981</v>
      </c>
      <c r="AL76" s="57">
        <v>0</v>
      </c>
      <c r="AM76" s="57">
        <v>0</v>
      </c>
      <c r="AN76" s="61">
        <f t="shared" si="59"/>
        <v>24</v>
      </c>
      <c r="AO76" s="40">
        <f t="shared" si="73"/>
        <v>0</v>
      </c>
      <c r="AP76" s="40">
        <f t="shared" si="74"/>
        <v>0</v>
      </c>
      <c r="AQ76" s="44">
        <f t="shared" si="75"/>
        <v>29510.993540769552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6</v>
      </c>
      <c r="G77" s="35">
        <f>SUMIFS(WORKING!$AC$3:$AC$6802,WORKING!$A$3:$A$6802,Results!$D$3,WORKING!$B$3:$B$6802,Results!A77,WORKING!$C$3:$C$6802,Results!C77)/1000</f>
        <v>7703.6011700000017</v>
      </c>
      <c r="H77" s="35">
        <f t="shared" si="60"/>
        <v>1283.9335283333337</v>
      </c>
      <c r="I77" s="187" t="s">
        <v>754</v>
      </c>
      <c r="J77" s="212">
        <v>7796</v>
      </c>
      <c r="K77" s="217">
        <f t="shared" si="61"/>
        <v>1299.3333333333333</v>
      </c>
      <c r="L77" s="34">
        <f t="shared" si="54"/>
        <v>6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1361.3961786133693</v>
      </c>
      <c r="N77" s="57">
        <v>2</v>
      </c>
      <c r="O77" s="57">
        <v>1</v>
      </c>
      <c r="P77" s="61">
        <f t="shared" si="55"/>
        <v>7</v>
      </c>
      <c r="Q77" s="40">
        <f t="shared" si="62"/>
        <v>2722.7923572267387</v>
      </c>
      <c r="R77" s="40">
        <f t="shared" si="63"/>
        <v>-1361.3961786133693</v>
      </c>
      <c r="S77" s="44">
        <f t="shared" si="64"/>
        <v>9529.7732502935851</v>
      </c>
      <c r="T77" s="35">
        <f t="shared" si="65"/>
        <v>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1463.7065562340683</v>
      </c>
      <c r="V77" s="57">
        <v>0</v>
      </c>
      <c r="W77" s="57">
        <v>0</v>
      </c>
      <c r="X77" s="61">
        <f t="shared" si="56"/>
        <v>7</v>
      </c>
      <c r="Y77" s="40">
        <f t="shared" si="66"/>
        <v>0</v>
      </c>
      <c r="Z77" s="40">
        <f t="shared" si="67"/>
        <v>0</v>
      </c>
      <c r="AA77" s="44">
        <f t="shared" si="68"/>
        <v>10245.945893638478</v>
      </c>
      <c r="AB77" s="35">
        <f t="shared" si="69"/>
        <v>7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1572.2210400738416</v>
      </c>
      <c r="AD77" s="57">
        <v>0</v>
      </c>
      <c r="AE77" s="57">
        <v>0</v>
      </c>
      <c r="AF77" s="61">
        <f t="shared" si="57"/>
        <v>7</v>
      </c>
      <c r="AG77" s="40">
        <f t="shared" si="70"/>
        <v>0</v>
      </c>
      <c r="AH77" s="40">
        <f t="shared" si="71"/>
        <v>0</v>
      </c>
      <c r="AI77" s="44">
        <f t="shared" si="72"/>
        <v>11005.54728051689</v>
      </c>
      <c r="AJ77" s="35">
        <f t="shared" si="58"/>
        <v>7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1685.5910507619362</v>
      </c>
      <c r="AL77" s="57">
        <v>0</v>
      </c>
      <c r="AM77" s="57">
        <v>0</v>
      </c>
      <c r="AN77" s="61">
        <f t="shared" si="59"/>
        <v>7</v>
      </c>
      <c r="AO77" s="40">
        <f t="shared" si="73"/>
        <v>0</v>
      </c>
      <c r="AP77" s="40">
        <f t="shared" si="74"/>
        <v>0</v>
      </c>
      <c r="AQ77" s="44">
        <f t="shared" si="75"/>
        <v>11799.137355333554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649.77280999999994</v>
      </c>
      <c r="H78" s="35">
        <f t="shared" si="60"/>
        <v>649.77280999999994</v>
      </c>
      <c r="I78" s="187" t="s">
        <v>754</v>
      </c>
      <c r="J78" s="212" t="s">
        <v>754</v>
      </c>
      <c r="K78" s="217">
        <f t="shared" si="61"/>
        <v>649.77280999999994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681.11193560584991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681.11193560584991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732.62374625240523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732.62374625240523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787.28791753342921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787.28791753342921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844.43302304328733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844.43302304328733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5</v>
      </c>
      <c r="G79" s="35">
        <f>SUMIFS(WORKING!$AC$3:$AC$6802,WORKING!$A$3:$A$6802,Results!$D$3,WORKING!$B$3:$B$6802,Results!A79,WORKING!$C$3:$C$6802,Results!C79)/1000</f>
        <v>9445.8368200000023</v>
      </c>
      <c r="H79" s="35">
        <f t="shared" si="60"/>
        <v>1889.1673640000004</v>
      </c>
      <c r="I79" s="187">
        <v>3</v>
      </c>
      <c r="J79" s="212">
        <v>5235</v>
      </c>
      <c r="K79" s="217">
        <f t="shared" si="61"/>
        <v>1745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1829.5434820192349</v>
      </c>
      <c r="N79" s="57">
        <v>1</v>
      </c>
      <c r="O79" s="57">
        <v>1</v>
      </c>
      <c r="P79" s="61">
        <f t="shared" si="55"/>
        <v>3</v>
      </c>
      <c r="Q79" s="40">
        <f t="shared" si="62"/>
        <v>1829.5434820192349</v>
      </c>
      <c r="R79" s="40">
        <f t="shared" si="63"/>
        <v>-1829.5434820192349</v>
      </c>
      <c r="S79" s="44">
        <f t="shared" si="64"/>
        <v>5488.6304460577048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1968.3194488775903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5904.9583466327713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2115.6242026317782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6346.872607895335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2269.6583956572126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6808.9751869716383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1902</v>
      </c>
      <c r="K80" s="217">
        <f t="shared" si="61"/>
        <v>1902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1964.7659999999998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1964.7659999999998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2082.6519600000001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2082.6519600000001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2205.52842564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2205.52842564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2331.24354590148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2331.24354590148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2309</v>
      </c>
      <c r="K81" s="217">
        <f t="shared" ref="K81:K83" si="77">IFERROR(IF(J81="",G81,J81)/IF(I81="",F81,I81),"")</f>
        <v>2309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2385.1969999999997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2385.1969999999997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2528.3088199999997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2528.3088199999997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2677.4790403799998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2677.4790403799998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2830.0953456816596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2830.0953456816596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757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5</v>
      </c>
      <c r="O83" s="57">
        <v>0</v>
      </c>
      <c r="P83" s="61">
        <f t="shared" si="79"/>
        <v>5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5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5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5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5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5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5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141</v>
      </c>
      <c r="G84" s="41">
        <f>SUM(G64:G83)</f>
        <v>90144.798880000017</v>
      </c>
      <c r="H84" s="41">
        <f>IFERROR(G84/F84,0)</f>
        <v>639.32481475177315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141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90340.764930000005</v>
      </c>
      <c r="K84" s="41">
        <f>IFERROR(J84/I84,"")</f>
        <v>640.71464489361711</v>
      </c>
      <c r="L84" s="41">
        <f>SUM(L64:L83)</f>
        <v>141</v>
      </c>
      <c r="M84" s="41">
        <f>IFERROR(S84/P84,0)</f>
        <v>667.98692817300628</v>
      </c>
      <c r="N84" s="41">
        <f t="shared" ref="N84:T84" si="98">SUM(N64:N83)</f>
        <v>18</v>
      </c>
      <c r="O84" s="41">
        <f t="shared" si="98"/>
        <v>4</v>
      </c>
      <c r="P84" s="41">
        <f t="shared" si="98"/>
        <v>155</v>
      </c>
      <c r="Q84" s="41">
        <f t="shared" si="98"/>
        <v>10803.871737605828</v>
      </c>
      <c r="R84" s="41">
        <f t="shared" si="98"/>
        <v>-4060.8316727547135</v>
      </c>
      <c r="S84" s="45">
        <f t="shared" si="98"/>
        <v>103537.97386681597</v>
      </c>
      <c r="T84" s="41">
        <f t="shared" si="98"/>
        <v>155</v>
      </c>
      <c r="U84" s="41">
        <f>IFERROR(AA84/X84,0)</f>
        <v>731.29848389850133</v>
      </c>
      <c r="V84" s="41">
        <f t="shared" ref="V84:AB84" si="99">SUM(V64:V83)</f>
        <v>0</v>
      </c>
      <c r="W84" s="41">
        <f t="shared" si="99"/>
        <v>11</v>
      </c>
      <c r="X84" s="41">
        <f t="shared" si="99"/>
        <v>144</v>
      </c>
      <c r="Y84" s="41">
        <f t="shared" si="99"/>
        <v>0</v>
      </c>
      <c r="Z84" s="41">
        <f t="shared" si="99"/>
        <v>-6570.4904032780632</v>
      </c>
      <c r="AA84" s="45">
        <f t="shared" si="99"/>
        <v>105306.98168138419</v>
      </c>
      <c r="AB84" s="41">
        <f t="shared" si="99"/>
        <v>144</v>
      </c>
      <c r="AC84" s="41">
        <f>IFERROR(AI84/AF84,0)</f>
        <v>792.3790983071018</v>
      </c>
      <c r="AD84" s="41">
        <f t="shared" ref="AD84:AJ84" si="100">SUM(AD64:AD83)</f>
        <v>0</v>
      </c>
      <c r="AE84" s="41">
        <f t="shared" si="100"/>
        <v>3</v>
      </c>
      <c r="AF84" s="41">
        <f t="shared" si="100"/>
        <v>141</v>
      </c>
      <c r="AG84" s="41">
        <f t="shared" si="100"/>
        <v>0</v>
      </c>
      <c r="AH84" s="41">
        <f t="shared" si="100"/>
        <v>-1929.2870206740254</v>
      </c>
      <c r="AI84" s="45">
        <f t="shared" si="100"/>
        <v>111725.45286130135</v>
      </c>
      <c r="AJ84" s="41">
        <f t="shared" si="100"/>
        <v>141</v>
      </c>
      <c r="AK84" s="41">
        <f>IFERROR(AQ84/AN84,0)</f>
        <v>853.54600166632349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141</v>
      </c>
      <c r="AO84" s="41">
        <f t="shared" si="101"/>
        <v>0</v>
      </c>
      <c r="AP84" s="41">
        <f t="shared" si="101"/>
        <v>0</v>
      </c>
      <c r="AQ84" s="45">
        <f t="shared" si="101"/>
        <v>120349.9862349516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92349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100047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105352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113358.75200000001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-11188.97386681597</v>
      </c>
      <c r="T86" s="39"/>
      <c r="U86" s="39"/>
      <c r="V86" s="53"/>
      <c r="W86" s="53"/>
      <c r="X86" s="110"/>
      <c r="Y86" s="39"/>
      <c r="Z86" s="39"/>
      <c r="AA86" s="54">
        <f>AA85-AA84</f>
        <v>-5259.9816813841899</v>
      </c>
      <c r="AB86" s="39"/>
      <c r="AC86" s="53"/>
      <c r="AD86" s="53"/>
      <c r="AE86" s="110"/>
      <c r="AF86" s="39"/>
      <c r="AG86" s="39"/>
      <c r="AH86" s="39"/>
      <c r="AI86" s="54">
        <f>AI85-AI84</f>
        <v>-6373.4528613013536</v>
      </c>
      <c r="AJ86" s="53"/>
      <c r="AK86" s="53"/>
      <c r="AL86" s="110"/>
      <c r="AM86" s="110"/>
      <c r="AN86" s="110"/>
      <c r="AO86" s="110"/>
      <c r="AP86" s="111"/>
      <c r="AQ86" s="54">
        <f>AQ85-AQ84</f>
        <v>-6991.2342349515966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International Affairs and Trade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</v>
      </c>
      <c r="G97" s="35">
        <f>SUMIFS(WORKING!$AC$3:$AC$6802,WORKING!$A$3:$A$6802,Results!$D$3,WORKING!$B$3:$B$6802,Results!A97,WORKING!$C$3:$C$6802,Results!C97)/1000</f>
        <v>273.76850999999999</v>
      </c>
      <c r="H97" s="35">
        <f t="shared" si="108"/>
        <v>273.76850999999999</v>
      </c>
      <c r="I97" s="187" t="s">
        <v>754</v>
      </c>
      <c r="J97" s="212">
        <v>277</v>
      </c>
      <c r="K97" s="217">
        <f t="shared" si="109"/>
        <v>277</v>
      </c>
      <c r="L97" s="34">
        <f t="shared" si="102"/>
        <v>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301.21620545600462</v>
      </c>
      <c r="N97" s="57">
        <v>0</v>
      </c>
      <c r="O97" s="57">
        <v>0</v>
      </c>
      <c r="P97" s="61">
        <f t="shared" si="103"/>
        <v>1</v>
      </c>
      <c r="Q97" s="40">
        <f t="shared" si="110"/>
        <v>0</v>
      </c>
      <c r="R97" s="40">
        <f t="shared" si="111"/>
        <v>0</v>
      </c>
      <c r="S97" s="44">
        <f t="shared" si="112"/>
        <v>301.21620545600462</v>
      </c>
      <c r="T97" s="35">
        <f t="shared" si="113"/>
        <v>1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326.73009056696679</v>
      </c>
      <c r="V97" s="57">
        <v>0</v>
      </c>
      <c r="W97" s="57">
        <v>0</v>
      </c>
      <c r="X97" s="61">
        <f t="shared" si="104"/>
        <v>1</v>
      </c>
      <c r="Y97" s="40">
        <f t="shared" si="114"/>
        <v>0</v>
      </c>
      <c r="Z97" s="40">
        <f t="shared" si="115"/>
        <v>0</v>
      </c>
      <c r="AA97" s="44">
        <f t="shared" si="116"/>
        <v>326.73009056696679</v>
      </c>
      <c r="AB97" s="35">
        <f t="shared" si="117"/>
        <v>1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354.07398654965169</v>
      </c>
      <c r="AD97" s="57">
        <v>0</v>
      </c>
      <c r="AE97" s="57">
        <v>0</v>
      </c>
      <c r="AF97" s="61">
        <f t="shared" si="105"/>
        <v>1</v>
      </c>
      <c r="AG97" s="40">
        <f t="shared" si="118"/>
        <v>0</v>
      </c>
      <c r="AH97" s="40">
        <f t="shared" si="119"/>
        <v>0</v>
      </c>
      <c r="AI97" s="44">
        <f t="shared" si="120"/>
        <v>354.07398654965169</v>
      </c>
      <c r="AJ97" s="35">
        <f t="shared" si="106"/>
        <v>1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382.98868542560552</v>
      </c>
      <c r="AL97" s="57">
        <v>0</v>
      </c>
      <c r="AM97" s="57">
        <v>0</v>
      </c>
      <c r="AN97" s="61">
        <f t="shared" si="107"/>
        <v>1</v>
      </c>
      <c r="AO97" s="40">
        <f t="shared" si="121"/>
        <v>0</v>
      </c>
      <c r="AP97" s="40">
        <f t="shared" si="122"/>
        <v>0</v>
      </c>
      <c r="AQ97" s="44">
        <f t="shared" si="123"/>
        <v>382.98868542560552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</v>
      </c>
      <c r="G98" s="35">
        <f>SUMIFS(WORKING!$AC$3:$AC$6802,WORKING!$A$3:$A$6802,Results!$D$3,WORKING!$B$3:$B$6802,Results!A98,WORKING!$C$3:$C$6802,Results!C98)/1000</f>
        <v>346.62331999999992</v>
      </c>
      <c r="H98" s="35">
        <f t="shared" si="108"/>
        <v>346.62331999999992</v>
      </c>
      <c r="I98" s="187" t="s">
        <v>754</v>
      </c>
      <c r="J98" s="212" t="s">
        <v>754</v>
      </c>
      <c r="K98" s="217">
        <f t="shared" si="109"/>
        <v>346.62331999999992</v>
      </c>
      <c r="L98" s="34">
        <f t="shared" si="102"/>
        <v>1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377.1724548747153</v>
      </c>
      <c r="N98" s="57">
        <v>0</v>
      </c>
      <c r="O98" s="57">
        <v>0</v>
      </c>
      <c r="P98" s="61">
        <f t="shared" si="103"/>
        <v>1</v>
      </c>
      <c r="Q98" s="40">
        <f t="shared" si="110"/>
        <v>0</v>
      </c>
      <c r="R98" s="40">
        <f t="shared" si="111"/>
        <v>0</v>
      </c>
      <c r="S98" s="44">
        <f t="shared" si="112"/>
        <v>377.1724548747153</v>
      </c>
      <c r="T98" s="35">
        <f t="shared" si="113"/>
        <v>1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409.19473116390975</v>
      </c>
      <c r="V98" s="57">
        <v>0</v>
      </c>
      <c r="W98" s="57">
        <v>0</v>
      </c>
      <c r="X98" s="61">
        <f t="shared" si="104"/>
        <v>1</v>
      </c>
      <c r="Y98" s="40">
        <f t="shared" si="114"/>
        <v>0</v>
      </c>
      <c r="Z98" s="40">
        <f t="shared" si="115"/>
        <v>0</v>
      </c>
      <c r="AA98" s="44">
        <f t="shared" si="116"/>
        <v>409.19473116390975</v>
      </c>
      <c r="AB98" s="35">
        <f t="shared" si="117"/>
        <v>1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443.52106867148126</v>
      </c>
      <c r="AD98" s="57">
        <v>0</v>
      </c>
      <c r="AE98" s="57">
        <v>0</v>
      </c>
      <c r="AF98" s="61">
        <f t="shared" si="105"/>
        <v>1</v>
      </c>
      <c r="AG98" s="40">
        <f t="shared" si="118"/>
        <v>0</v>
      </c>
      <c r="AH98" s="40">
        <f t="shared" si="119"/>
        <v>0</v>
      </c>
      <c r="AI98" s="44">
        <f t="shared" si="120"/>
        <v>443.52106867148126</v>
      </c>
      <c r="AJ98" s="35">
        <f t="shared" si="106"/>
        <v>1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479.82807174003506</v>
      </c>
      <c r="AL98" s="57">
        <v>0</v>
      </c>
      <c r="AM98" s="57">
        <v>0</v>
      </c>
      <c r="AN98" s="61">
        <f t="shared" si="107"/>
        <v>1</v>
      </c>
      <c r="AO98" s="40">
        <f t="shared" si="121"/>
        <v>0</v>
      </c>
      <c r="AP98" s="40">
        <f t="shared" si="122"/>
        <v>0</v>
      </c>
      <c r="AQ98" s="44">
        <f t="shared" si="123"/>
        <v>479.82807174003506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4</v>
      </c>
      <c r="G99" s="35">
        <f>SUMIFS(WORKING!$AC$3:$AC$6802,WORKING!$A$3:$A$6802,Results!$D$3,WORKING!$B$3:$B$6802,Results!A99,WORKING!$C$3:$C$6802,Results!C99)/1000</f>
        <v>1578.2280000000003</v>
      </c>
      <c r="H99" s="35">
        <f t="shared" si="108"/>
        <v>394.55700000000007</v>
      </c>
      <c r="I99" s="187" t="s">
        <v>754</v>
      </c>
      <c r="J99" s="212" t="s">
        <v>754</v>
      </c>
      <c r="K99" s="217">
        <f t="shared" si="109"/>
        <v>394.55700000000007</v>
      </c>
      <c r="L99" s="34">
        <f t="shared" si="102"/>
        <v>4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429.7092161570597</v>
      </c>
      <c r="N99" s="57">
        <v>0</v>
      </c>
      <c r="O99" s="57">
        <v>0</v>
      </c>
      <c r="P99" s="61">
        <f t="shared" si="103"/>
        <v>4</v>
      </c>
      <c r="Q99" s="40">
        <f t="shared" si="110"/>
        <v>0</v>
      </c>
      <c r="R99" s="40">
        <f t="shared" si="111"/>
        <v>0</v>
      </c>
      <c r="S99" s="44">
        <f t="shared" si="112"/>
        <v>1718.8368646282388</v>
      </c>
      <c r="T99" s="35">
        <f t="shared" si="113"/>
        <v>4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466.30879037150453</v>
      </c>
      <c r="V99" s="57">
        <v>0</v>
      </c>
      <c r="W99" s="57">
        <v>0</v>
      </c>
      <c r="X99" s="61">
        <f t="shared" si="104"/>
        <v>4</v>
      </c>
      <c r="Y99" s="40">
        <f t="shared" si="114"/>
        <v>0</v>
      </c>
      <c r="Z99" s="40">
        <f t="shared" si="115"/>
        <v>0</v>
      </c>
      <c r="AA99" s="44">
        <f t="shared" si="116"/>
        <v>1865.2351614860181</v>
      </c>
      <c r="AB99" s="35">
        <f t="shared" si="117"/>
        <v>4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505.55301052991894</v>
      </c>
      <c r="AD99" s="57">
        <v>0</v>
      </c>
      <c r="AE99" s="57">
        <v>0</v>
      </c>
      <c r="AF99" s="61">
        <f t="shared" si="105"/>
        <v>4</v>
      </c>
      <c r="AG99" s="40">
        <f t="shared" si="118"/>
        <v>0</v>
      </c>
      <c r="AH99" s="40">
        <f t="shared" si="119"/>
        <v>0</v>
      </c>
      <c r="AI99" s="44">
        <f t="shared" si="120"/>
        <v>2022.2120421196757</v>
      </c>
      <c r="AJ99" s="35">
        <f t="shared" si="106"/>
        <v>4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547.07515080920416</v>
      </c>
      <c r="AL99" s="57">
        <v>0</v>
      </c>
      <c r="AM99" s="57">
        <v>0</v>
      </c>
      <c r="AN99" s="61">
        <f t="shared" si="107"/>
        <v>4</v>
      </c>
      <c r="AO99" s="40">
        <f t="shared" si="121"/>
        <v>0</v>
      </c>
      <c r="AP99" s="40">
        <f t="shared" si="122"/>
        <v>0</v>
      </c>
      <c r="AQ99" s="44">
        <f t="shared" si="123"/>
        <v>2188.3006032368166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196.80782000000002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2</v>
      </c>
      <c r="G101" s="35">
        <f>SUMIFS(WORKING!$AC$3:$AC$6802,WORKING!$A$3:$A$6802,Results!$D$3,WORKING!$B$3:$B$6802,Results!A101,WORKING!$C$3:$C$6802,Results!C101)/1000</f>
        <v>810.13895000000002</v>
      </c>
      <c r="H101" s="35">
        <f t="shared" si="108"/>
        <v>405.06947500000001</v>
      </c>
      <c r="I101" s="187" t="s">
        <v>754</v>
      </c>
      <c r="J101" s="212" t="s">
        <v>754</v>
      </c>
      <c r="K101" s="217">
        <f t="shared" si="109"/>
        <v>405.06947500000001</v>
      </c>
      <c r="L101" s="34">
        <f t="shared" si="102"/>
        <v>2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441.35555900459372</v>
      </c>
      <c r="N101" s="57">
        <v>0</v>
      </c>
      <c r="O101" s="57">
        <v>0</v>
      </c>
      <c r="P101" s="61">
        <f t="shared" si="103"/>
        <v>2</v>
      </c>
      <c r="Q101" s="40">
        <f t="shared" si="110"/>
        <v>0</v>
      </c>
      <c r="R101" s="40">
        <f t="shared" si="111"/>
        <v>0</v>
      </c>
      <c r="S101" s="44">
        <f t="shared" si="112"/>
        <v>882.71111800918743</v>
      </c>
      <c r="T101" s="35">
        <f t="shared" si="113"/>
        <v>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479.01119165297501</v>
      </c>
      <c r="V101" s="57">
        <v>0</v>
      </c>
      <c r="W101" s="57">
        <v>0</v>
      </c>
      <c r="X101" s="61">
        <f t="shared" si="104"/>
        <v>2</v>
      </c>
      <c r="Y101" s="40">
        <f t="shared" si="114"/>
        <v>0</v>
      </c>
      <c r="Z101" s="40">
        <f t="shared" si="115"/>
        <v>0</v>
      </c>
      <c r="AA101" s="44">
        <f t="shared" si="116"/>
        <v>958.02238330595003</v>
      </c>
      <c r="AB101" s="35">
        <f t="shared" si="117"/>
        <v>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519.39379834249189</v>
      </c>
      <c r="AD101" s="57">
        <v>0</v>
      </c>
      <c r="AE101" s="57">
        <v>1</v>
      </c>
      <c r="AF101" s="61">
        <f t="shared" si="105"/>
        <v>1</v>
      </c>
      <c r="AG101" s="40">
        <f t="shared" si="118"/>
        <v>0</v>
      </c>
      <c r="AH101" s="40">
        <f t="shared" si="119"/>
        <v>-519.39379834249189</v>
      </c>
      <c r="AI101" s="44">
        <f t="shared" si="120"/>
        <v>519.39379834249189</v>
      </c>
      <c r="AJ101" s="35">
        <f t="shared" si="106"/>
        <v>1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562.12745697698051</v>
      </c>
      <c r="AL101" s="57">
        <v>0</v>
      </c>
      <c r="AM101" s="57">
        <v>0</v>
      </c>
      <c r="AN101" s="61">
        <f t="shared" si="107"/>
        <v>1</v>
      </c>
      <c r="AO101" s="40">
        <f t="shared" si="121"/>
        <v>0</v>
      </c>
      <c r="AP101" s="40">
        <f t="shared" si="122"/>
        <v>0</v>
      </c>
      <c r="AQ101" s="44">
        <f t="shared" si="123"/>
        <v>562.12745697698051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 t="s">
        <v>754</v>
      </c>
      <c r="J102" s="212" t="s">
        <v>754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 t="s">
        <v>754</v>
      </c>
      <c r="J103" s="212" t="s">
        <v>754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0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0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0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0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4</v>
      </c>
      <c r="G104" s="35">
        <f>SUMIFS(WORKING!$AC$3:$AC$6802,WORKING!$A$3:$A$6802,Results!$D$3,WORKING!$B$3:$B$6802,Results!A104,WORKING!$C$3:$C$6802,Results!C104)/1000</f>
        <v>3732.7077399999994</v>
      </c>
      <c r="H104" s="35">
        <f t="shared" si="108"/>
        <v>933.17693499999984</v>
      </c>
      <c r="I104" s="187" t="s">
        <v>754</v>
      </c>
      <c r="J104" s="212" t="s">
        <v>754</v>
      </c>
      <c r="K104" s="217">
        <f t="shared" si="109"/>
        <v>933.17693499999984</v>
      </c>
      <c r="L104" s="34">
        <f t="shared" si="102"/>
        <v>4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977.6874137423498</v>
      </c>
      <c r="N104" s="57">
        <v>2</v>
      </c>
      <c r="O104" s="57">
        <v>0</v>
      </c>
      <c r="P104" s="61">
        <f t="shared" si="103"/>
        <v>6</v>
      </c>
      <c r="Q104" s="40">
        <f t="shared" si="110"/>
        <v>1955.3748274846996</v>
      </c>
      <c r="R104" s="40">
        <f t="shared" si="111"/>
        <v>0</v>
      </c>
      <c r="S104" s="44">
        <f t="shared" si="112"/>
        <v>5866.1244824540991</v>
      </c>
      <c r="T104" s="35">
        <f t="shared" si="113"/>
        <v>6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1051.094095502039</v>
      </c>
      <c r="V104" s="57">
        <v>0</v>
      </c>
      <c r="W104" s="57">
        <v>0</v>
      </c>
      <c r="X104" s="61">
        <f t="shared" si="104"/>
        <v>6</v>
      </c>
      <c r="Y104" s="40">
        <f t="shared" si="114"/>
        <v>0</v>
      </c>
      <c r="Z104" s="40">
        <f t="shared" si="115"/>
        <v>0</v>
      </c>
      <c r="AA104" s="44">
        <f t="shared" si="116"/>
        <v>6306.5645730122342</v>
      </c>
      <c r="AB104" s="35">
        <f t="shared" si="117"/>
        <v>6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1128.9462450557019</v>
      </c>
      <c r="AD104" s="57">
        <v>0</v>
      </c>
      <c r="AE104" s="57">
        <v>0</v>
      </c>
      <c r="AF104" s="61">
        <f t="shared" si="105"/>
        <v>6</v>
      </c>
      <c r="AG104" s="40">
        <f t="shared" si="118"/>
        <v>0</v>
      </c>
      <c r="AH104" s="40">
        <f t="shared" si="119"/>
        <v>0</v>
      </c>
      <c r="AI104" s="44">
        <f t="shared" si="120"/>
        <v>6773.6774703342107</v>
      </c>
      <c r="AJ104" s="35">
        <f t="shared" si="106"/>
        <v>6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1210.274707928686</v>
      </c>
      <c r="AL104" s="57">
        <v>0</v>
      </c>
      <c r="AM104" s="57">
        <v>0</v>
      </c>
      <c r="AN104" s="61">
        <f t="shared" si="107"/>
        <v>6</v>
      </c>
      <c r="AO104" s="40">
        <f t="shared" si="121"/>
        <v>0</v>
      </c>
      <c r="AP104" s="40">
        <f t="shared" si="122"/>
        <v>0</v>
      </c>
      <c r="AQ104" s="44">
        <f t="shared" si="123"/>
        <v>7261.6482475721159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3</v>
      </c>
      <c r="G105" s="35">
        <f>SUMIFS(WORKING!$AC$3:$AC$6802,WORKING!$A$3:$A$6802,Results!$D$3,WORKING!$B$3:$B$6802,Results!A105,WORKING!$C$3:$C$6802,Results!C105)/1000</f>
        <v>3447.1953800000001</v>
      </c>
      <c r="H105" s="35">
        <f t="shared" si="108"/>
        <v>1149.0651266666666</v>
      </c>
      <c r="I105" s="187" t="s">
        <v>754</v>
      </c>
      <c r="J105" s="212">
        <v>3483</v>
      </c>
      <c r="K105" s="217">
        <f t="shared" si="109"/>
        <v>1161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1217.0838476038236</v>
      </c>
      <c r="N105" s="57">
        <v>0</v>
      </c>
      <c r="O105" s="57">
        <v>0</v>
      </c>
      <c r="P105" s="61">
        <f t="shared" si="103"/>
        <v>3</v>
      </c>
      <c r="Q105" s="40">
        <f t="shared" si="110"/>
        <v>0</v>
      </c>
      <c r="R105" s="40">
        <f t="shared" si="111"/>
        <v>0</v>
      </c>
      <c r="S105" s="44">
        <f t="shared" si="112"/>
        <v>3651.2515428114712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1309.2250960541705</v>
      </c>
      <c r="V105" s="57">
        <v>0</v>
      </c>
      <c r="W105" s="57">
        <v>0</v>
      </c>
      <c r="X105" s="61">
        <f t="shared" si="104"/>
        <v>3</v>
      </c>
      <c r="Y105" s="40">
        <f t="shared" si="114"/>
        <v>0</v>
      </c>
      <c r="Z105" s="40">
        <f t="shared" si="115"/>
        <v>0</v>
      </c>
      <c r="AA105" s="44">
        <f t="shared" si="116"/>
        <v>3927.6752881625116</v>
      </c>
      <c r="AB105" s="35">
        <f t="shared" si="117"/>
        <v>3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1407.0134181860083</v>
      </c>
      <c r="AD105" s="57">
        <v>0</v>
      </c>
      <c r="AE105" s="57">
        <v>0</v>
      </c>
      <c r="AF105" s="61">
        <f t="shared" si="105"/>
        <v>3</v>
      </c>
      <c r="AG105" s="40">
        <f t="shared" si="118"/>
        <v>0</v>
      </c>
      <c r="AH105" s="40">
        <f t="shared" si="119"/>
        <v>0</v>
      </c>
      <c r="AI105" s="44">
        <f t="shared" si="120"/>
        <v>4221.0402545580246</v>
      </c>
      <c r="AJ105" s="35">
        <f t="shared" si="106"/>
        <v>3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1509.2499981241667</v>
      </c>
      <c r="AL105" s="57">
        <v>0</v>
      </c>
      <c r="AM105" s="57">
        <v>0</v>
      </c>
      <c r="AN105" s="61">
        <f t="shared" si="107"/>
        <v>3</v>
      </c>
      <c r="AO105" s="40">
        <f t="shared" si="121"/>
        <v>0</v>
      </c>
      <c r="AP105" s="40">
        <f t="shared" si="122"/>
        <v>0</v>
      </c>
      <c r="AQ105" s="44">
        <f t="shared" si="123"/>
        <v>4527.7499943724997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1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757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2</v>
      </c>
      <c r="O111" s="57">
        <v>0</v>
      </c>
      <c r="P111" s="61">
        <f t="shared" si="103"/>
        <v>2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2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2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2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2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2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2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15</v>
      </c>
      <c r="G112" s="41">
        <f>SUM(G92:G111)</f>
        <v>10385.469720000001</v>
      </c>
      <c r="H112" s="41">
        <f>IFERROR(G112/F112,0)</f>
        <v>692.3646480000001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10424.50583</v>
      </c>
      <c r="K112" s="41">
        <f>IFERROR(J112/I112,"")</f>
        <v>694.96705533333329</v>
      </c>
      <c r="L112" s="41">
        <f>SUM(L92:L111)</f>
        <v>15</v>
      </c>
      <c r="M112" s="41">
        <f>IFERROR(S112/P112,0)</f>
        <v>639.86563341168585</v>
      </c>
      <c r="N112" s="41">
        <f t="shared" ref="N112:T112" si="124">SUM(N92:N111)</f>
        <v>5</v>
      </c>
      <c r="O112" s="41">
        <f t="shared" si="124"/>
        <v>0</v>
      </c>
      <c r="P112" s="41">
        <f t="shared" si="124"/>
        <v>20</v>
      </c>
      <c r="Q112" s="41">
        <f t="shared" si="124"/>
        <v>1955.3748274846996</v>
      </c>
      <c r="R112" s="41">
        <f t="shared" si="124"/>
        <v>0</v>
      </c>
      <c r="S112" s="45">
        <f t="shared" si="124"/>
        <v>12797.312668233717</v>
      </c>
      <c r="T112" s="41">
        <f t="shared" si="124"/>
        <v>20</v>
      </c>
      <c r="U112" s="41">
        <f>IFERROR(AA112/X112,0)</f>
        <v>689.6711113848794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20</v>
      </c>
      <c r="Y112" s="41">
        <f t="shared" si="125"/>
        <v>0</v>
      </c>
      <c r="Z112" s="41">
        <f t="shared" si="125"/>
        <v>0</v>
      </c>
      <c r="AA112" s="45">
        <f t="shared" si="125"/>
        <v>13793.422227697589</v>
      </c>
      <c r="AB112" s="41">
        <f t="shared" si="125"/>
        <v>20</v>
      </c>
      <c r="AC112" s="41">
        <f>IFERROR(AI112/AF112,0)</f>
        <v>754.41676950397562</v>
      </c>
      <c r="AD112" s="41">
        <f t="shared" ref="AD112:AJ112" si="126">SUM(AD92:AD111)</f>
        <v>0</v>
      </c>
      <c r="AE112" s="41">
        <f t="shared" si="126"/>
        <v>1</v>
      </c>
      <c r="AF112" s="41">
        <f t="shared" si="126"/>
        <v>19</v>
      </c>
      <c r="AG112" s="41">
        <f t="shared" si="126"/>
        <v>0</v>
      </c>
      <c r="AH112" s="41">
        <f t="shared" si="126"/>
        <v>-519.39379834249189</v>
      </c>
      <c r="AI112" s="45">
        <f t="shared" si="126"/>
        <v>14333.918620575536</v>
      </c>
      <c r="AJ112" s="41">
        <f t="shared" si="126"/>
        <v>19</v>
      </c>
      <c r="AK112" s="41">
        <f>IFERROR(AQ112/AN112,0)</f>
        <v>810.6654241749502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19</v>
      </c>
      <c r="AO112" s="41">
        <f t="shared" si="127"/>
        <v>0</v>
      </c>
      <c r="AP112" s="41">
        <f t="shared" si="127"/>
        <v>0</v>
      </c>
      <c r="AQ112" s="45">
        <f t="shared" si="127"/>
        <v>15402.643059324053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13000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13508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14315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15402.94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202.68733176628302</v>
      </c>
      <c r="T114" s="39"/>
      <c r="U114" s="39"/>
      <c r="V114" s="53"/>
      <c r="W114" s="53"/>
      <c r="X114" s="110"/>
      <c r="Y114" s="39"/>
      <c r="Z114" s="39"/>
      <c r="AA114" s="54">
        <f>AA113-AA112</f>
        <v>-285.42222769758882</v>
      </c>
      <c r="AB114" s="39"/>
      <c r="AC114" s="53"/>
      <c r="AD114" s="53"/>
      <c r="AE114" s="110"/>
      <c r="AF114" s="39"/>
      <c r="AG114" s="39"/>
      <c r="AH114" s="39"/>
      <c r="AI114" s="54">
        <f>AI113-AI112</f>
        <v>-18.918620575535897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0.29694067594755325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Policy, Research and Capacity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1622.7819299999999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3</v>
      </c>
      <c r="G124" s="35">
        <f>SUMIFS(WORKING!$AC$3:$AC$6802,WORKING!$A$3:$A$6802,Results!$D$3,WORKING!$B$3:$B$6802,Results!A124,WORKING!$C$3:$C$6802,Results!C124)/1000</f>
        <v>589.53768000000002</v>
      </c>
      <c r="H124" s="35">
        <f t="shared" si="134"/>
        <v>196.51256000000001</v>
      </c>
      <c r="I124" s="187" t="s">
        <v>754</v>
      </c>
      <c r="J124" s="212">
        <v>606</v>
      </c>
      <c r="K124" s="217">
        <f t="shared" si="135"/>
        <v>202</v>
      </c>
      <c r="L124" s="34">
        <f t="shared" si="128"/>
        <v>3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219.36966510706353</v>
      </c>
      <c r="N124" s="57">
        <v>0</v>
      </c>
      <c r="O124" s="57">
        <v>0</v>
      </c>
      <c r="P124" s="61">
        <f t="shared" si="129"/>
        <v>3</v>
      </c>
      <c r="Q124" s="40">
        <f t="shared" si="136"/>
        <v>0</v>
      </c>
      <c r="R124" s="40">
        <f t="shared" si="137"/>
        <v>0</v>
      </c>
      <c r="S124" s="44">
        <f t="shared" si="138"/>
        <v>658.1089953211906</v>
      </c>
      <c r="T124" s="35">
        <f t="shared" si="139"/>
        <v>3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237.86010676444201</v>
      </c>
      <c r="V124" s="57">
        <v>0</v>
      </c>
      <c r="W124" s="57">
        <v>0</v>
      </c>
      <c r="X124" s="61">
        <f t="shared" si="130"/>
        <v>3</v>
      </c>
      <c r="Y124" s="40">
        <f t="shared" si="140"/>
        <v>0</v>
      </c>
      <c r="Z124" s="40">
        <f t="shared" si="141"/>
        <v>0</v>
      </c>
      <c r="AA124" s="44">
        <f t="shared" si="142"/>
        <v>713.58032029332605</v>
      </c>
      <c r="AB124" s="35">
        <f t="shared" si="143"/>
        <v>3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257.66821167272479</v>
      </c>
      <c r="AD124" s="57">
        <v>0</v>
      </c>
      <c r="AE124" s="57">
        <v>0</v>
      </c>
      <c r="AF124" s="61">
        <f t="shared" si="131"/>
        <v>3</v>
      </c>
      <c r="AG124" s="40">
        <f t="shared" si="144"/>
        <v>0</v>
      </c>
      <c r="AH124" s="40">
        <f t="shared" si="145"/>
        <v>0</v>
      </c>
      <c r="AI124" s="44">
        <f t="shared" si="146"/>
        <v>773.00463501817444</v>
      </c>
      <c r="AJ124" s="35">
        <f t="shared" si="132"/>
        <v>3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278.60398939483508</v>
      </c>
      <c r="AL124" s="57">
        <v>0</v>
      </c>
      <c r="AM124" s="57">
        <v>0</v>
      </c>
      <c r="AN124" s="61">
        <f t="shared" si="133"/>
        <v>3</v>
      </c>
      <c r="AO124" s="40">
        <f t="shared" si="147"/>
        <v>0</v>
      </c>
      <c r="AP124" s="40">
        <f t="shared" si="148"/>
        <v>0</v>
      </c>
      <c r="AQ124" s="44">
        <f t="shared" si="149"/>
        <v>835.8119681845053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6</v>
      </c>
      <c r="G125" s="35">
        <f>SUMIFS(WORKING!$AC$3:$AC$6802,WORKING!$A$3:$A$6802,Results!$D$3,WORKING!$B$3:$B$6802,Results!A125,WORKING!$C$3:$C$6802,Results!C125)/1000</f>
        <v>813.0963099999999</v>
      </c>
      <c r="H125" s="35">
        <f t="shared" si="134"/>
        <v>135.51605166666664</v>
      </c>
      <c r="I125" s="187" t="s">
        <v>754</v>
      </c>
      <c r="J125" s="212" t="s">
        <v>754</v>
      </c>
      <c r="K125" s="217">
        <f t="shared" si="135"/>
        <v>135.51605166666664</v>
      </c>
      <c r="L125" s="34">
        <f t="shared" si="128"/>
        <v>6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147.18868114535144</v>
      </c>
      <c r="N125" s="57">
        <v>0</v>
      </c>
      <c r="O125" s="57">
        <v>0</v>
      </c>
      <c r="P125" s="61">
        <f t="shared" si="129"/>
        <v>6</v>
      </c>
      <c r="Q125" s="40">
        <f t="shared" si="136"/>
        <v>0</v>
      </c>
      <c r="R125" s="40">
        <f t="shared" si="137"/>
        <v>0</v>
      </c>
      <c r="S125" s="44">
        <f t="shared" si="138"/>
        <v>883.13208687210863</v>
      </c>
      <c r="T125" s="35">
        <f t="shared" si="139"/>
        <v>6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159.60246962089147</v>
      </c>
      <c r="V125" s="57">
        <v>0</v>
      </c>
      <c r="W125" s="57">
        <v>0</v>
      </c>
      <c r="X125" s="61">
        <f t="shared" si="130"/>
        <v>6</v>
      </c>
      <c r="Y125" s="40">
        <f t="shared" si="140"/>
        <v>0</v>
      </c>
      <c r="Z125" s="40">
        <f t="shared" si="141"/>
        <v>0</v>
      </c>
      <c r="AA125" s="44">
        <f t="shared" si="142"/>
        <v>957.61481772534876</v>
      </c>
      <c r="AB125" s="35">
        <f t="shared" si="143"/>
        <v>6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172.90153598608066</v>
      </c>
      <c r="AD125" s="57">
        <v>0</v>
      </c>
      <c r="AE125" s="57">
        <v>0</v>
      </c>
      <c r="AF125" s="61">
        <f t="shared" si="131"/>
        <v>6</v>
      </c>
      <c r="AG125" s="40">
        <f t="shared" si="144"/>
        <v>0</v>
      </c>
      <c r="AH125" s="40">
        <f t="shared" si="145"/>
        <v>0</v>
      </c>
      <c r="AI125" s="44">
        <f t="shared" si="146"/>
        <v>1037.4092159164838</v>
      </c>
      <c r="AJ125" s="35">
        <f t="shared" si="132"/>
        <v>6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186.9584321805163</v>
      </c>
      <c r="AL125" s="57">
        <v>0</v>
      </c>
      <c r="AM125" s="57">
        <v>0</v>
      </c>
      <c r="AN125" s="61">
        <f t="shared" si="133"/>
        <v>6</v>
      </c>
      <c r="AO125" s="40">
        <f t="shared" si="147"/>
        <v>0</v>
      </c>
      <c r="AP125" s="40">
        <f t="shared" si="148"/>
        <v>0</v>
      </c>
      <c r="AQ125" s="44">
        <f t="shared" si="149"/>
        <v>1121.7505930830978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9</v>
      </c>
      <c r="G126" s="35">
        <f>SUMIFS(WORKING!$AC$3:$AC$6802,WORKING!$A$3:$A$6802,Results!$D$3,WORKING!$B$3:$B$6802,Results!A126,WORKING!$C$3:$C$6802,Results!C126)/1000</f>
        <v>1561.9928200000002</v>
      </c>
      <c r="H126" s="35">
        <f t="shared" si="134"/>
        <v>173.55475777777781</v>
      </c>
      <c r="I126" s="187" t="s">
        <v>754</v>
      </c>
      <c r="J126" s="212" t="s">
        <v>754</v>
      </c>
      <c r="K126" s="217">
        <f t="shared" si="135"/>
        <v>173.55475777777781</v>
      </c>
      <c r="L126" s="34">
        <f t="shared" si="128"/>
        <v>9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188.93586451291324</v>
      </c>
      <c r="N126" s="57">
        <v>3</v>
      </c>
      <c r="O126" s="57">
        <v>0</v>
      </c>
      <c r="P126" s="61">
        <f t="shared" si="129"/>
        <v>12</v>
      </c>
      <c r="Q126" s="40">
        <f t="shared" si="136"/>
        <v>566.80759353873975</v>
      </c>
      <c r="R126" s="40">
        <f t="shared" si="137"/>
        <v>0</v>
      </c>
      <c r="S126" s="44">
        <f t="shared" si="138"/>
        <v>2267.230374154959</v>
      </c>
      <c r="T126" s="35">
        <f t="shared" si="139"/>
        <v>12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205.00442865604563</v>
      </c>
      <c r="V126" s="57">
        <v>0</v>
      </c>
      <c r="W126" s="57">
        <v>0</v>
      </c>
      <c r="X126" s="61">
        <f t="shared" si="130"/>
        <v>12</v>
      </c>
      <c r="Y126" s="40">
        <f t="shared" si="140"/>
        <v>0</v>
      </c>
      <c r="Z126" s="40">
        <f t="shared" si="141"/>
        <v>0</v>
      </c>
      <c r="AA126" s="44">
        <f t="shared" si="142"/>
        <v>2460.0531438725475</v>
      </c>
      <c r="AB126" s="35">
        <f t="shared" si="143"/>
        <v>12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222.23174162348539</v>
      </c>
      <c r="AD126" s="57">
        <v>0</v>
      </c>
      <c r="AE126" s="57">
        <v>0</v>
      </c>
      <c r="AF126" s="61">
        <f t="shared" si="131"/>
        <v>12</v>
      </c>
      <c r="AG126" s="40">
        <f t="shared" si="144"/>
        <v>0</v>
      </c>
      <c r="AH126" s="40">
        <f t="shared" si="145"/>
        <v>0</v>
      </c>
      <c r="AI126" s="44">
        <f t="shared" si="146"/>
        <v>2666.7808994818247</v>
      </c>
      <c r="AJ126" s="35">
        <f t="shared" si="132"/>
        <v>12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240.45610819389884</v>
      </c>
      <c r="AL126" s="57">
        <v>0</v>
      </c>
      <c r="AM126" s="57">
        <v>0</v>
      </c>
      <c r="AN126" s="61">
        <f t="shared" si="133"/>
        <v>12</v>
      </c>
      <c r="AO126" s="40">
        <f t="shared" si="147"/>
        <v>0</v>
      </c>
      <c r="AP126" s="40">
        <f t="shared" si="148"/>
        <v>0</v>
      </c>
      <c r="AQ126" s="44">
        <f t="shared" si="149"/>
        <v>2885.4732983267859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7</v>
      </c>
      <c r="G127" s="35">
        <f>SUMIFS(WORKING!$AC$3:$AC$6802,WORKING!$A$3:$A$6802,Results!$D$3,WORKING!$B$3:$B$6802,Results!A127,WORKING!$C$3:$C$6802,Results!C127)/1000</f>
        <v>2791.7764300000003</v>
      </c>
      <c r="H127" s="35">
        <f t="shared" si="134"/>
        <v>398.82520428571434</v>
      </c>
      <c r="I127" s="187" t="s">
        <v>754</v>
      </c>
      <c r="J127" s="212" t="s">
        <v>754</v>
      </c>
      <c r="K127" s="217">
        <f t="shared" si="135"/>
        <v>398.82520428571434</v>
      </c>
      <c r="L127" s="34">
        <f t="shared" si="128"/>
        <v>7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434.20618460666873</v>
      </c>
      <c r="N127" s="57">
        <v>0</v>
      </c>
      <c r="O127" s="57">
        <v>1</v>
      </c>
      <c r="P127" s="61">
        <f t="shared" si="129"/>
        <v>6</v>
      </c>
      <c r="Q127" s="40">
        <f t="shared" si="136"/>
        <v>0</v>
      </c>
      <c r="R127" s="40">
        <f t="shared" si="137"/>
        <v>-434.20618460666873</v>
      </c>
      <c r="S127" s="44">
        <f t="shared" si="138"/>
        <v>2605.2371076400123</v>
      </c>
      <c r="T127" s="35">
        <f t="shared" si="139"/>
        <v>6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471.14600153040584</v>
      </c>
      <c r="V127" s="57">
        <v>0</v>
      </c>
      <c r="W127" s="57">
        <v>1</v>
      </c>
      <c r="X127" s="61">
        <f t="shared" si="130"/>
        <v>5</v>
      </c>
      <c r="Y127" s="40">
        <f t="shared" si="140"/>
        <v>0</v>
      </c>
      <c r="Z127" s="40">
        <f t="shared" si="141"/>
        <v>-471.14600153040584</v>
      </c>
      <c r="AA127" s="44">
        <f t="shared" si="142"/>
        <v>2355.7300076520291</v>
      </c>
      <c r="AB127" s="35">
        <f t="shared" si="143"/>
        <v>5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510.7507430433659</v>
      </c>
      <c r="AD127" s="57">
        <v>0</v>
      </c>
      <c r="AE127" s="57">
        <v>1</v>
      </c>
      <c r="AF127" s="61">
        <f t="shared" si="131"/>
        <v>4</v>
      </c>
      <c r="AG127" s="40">
        <f t="shared" si="144"/>
        <v>0</v>
      </c>
      <c r="AH127" s="40">
        <f t="shared" si="145"/>
        <v>-510.7507430433659</v>
      </c>
      <c r="AI127" s="44">
        <f t="shared" si="146"/>
        <v>2043.0029721734636</v>
      </c>
      <c r="AJ127" s="35">
        <f t="shared" si="132"/>
        <v>4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552.64895012918271</v>
      </c>
      <c r="AL127" s="57">
        <v>0</v>
      </c>
      <c r="AM127" s="57">
        <v>0</v>
      </c>
      <c r="AN127" s="61">
        <f t="shared" si="133"/>
        <v>4</v>
      </c>
      <c r="AO127" s="40">
        <f t="shared" si="147"/>
        <v>0</v>
      </c>
      <c r="AP127" s="40">
        <f t="shared" si="148"/>
        <v>0</v>
      </c>
      <c r="AQ127" s="44">
        <f t="shared" si="149"/>
        <v>2210.5958005167308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2</v>
      </c>
      <c r="G128" s="35">
        <f>SUMIFS(WORKING!$AC$3:$AC$6802,WORKING!$A$3:$A$6802,Results!$D$3,WORKING!$B$3:$B$6802,Results!A128,WORKING!$C$3:$C$6802,Results!C128)/1000</f>
        <v>1081.6661500000002</v>
      </c>
      <c r="H128" s="35">
        <f t="shared" si="134"/>
        <v>540.83307500000012</v>
      </c>
      <c r="I128" s="187" t="s">
        <v>754</v>
      </c>
      <c r="J128" s="212" t="s">
        <v>754</v>
      </c>
      <c r="K128" s="217">
        <f t="shared" si="135"/>
        <v>540.83307500000012</v>
      </c>
      <c r="L128" s="34">
        <f t="shared" si="128"/>
        <v>2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589.11051439445589</v>
      </c>
      <c r="N128" s="57">
        <v>0</v>
      </c>
      <c r="O128" s="57">
        <v>1</v>
      </c>
      <c r="P128" s="61">
        <f t="shared" si="129"/>
        <v>1</v>
      </c>
      <c r="Q128" s="40">
        <f t="shared" si="136"/>
        <v>0</v>
      </c>
      <c r="R128" s="40">
        <f t="shared" si="137"/>
        <v>-589.11051439445589</v>
      </c>
      <c r="S128" s="44">
        <f t="shared" si="138"/>
        <v>589.11051439445589</v>
      </c>
      <c r="T128" s="35">
        <f t="shared" si="139"/>
        <v>1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639.31919637555438</v>
      </c>
      <c r="V128" s="57">
        <v>0</v>
      </c>
      <c r="W128" s="57">
        <v>0</v>
      </c>
      <c r="X128" s="61">
        <f t="shared" si="130"/>
        <v>1</v>
      </c>
      <c r="Y128" s="40">
        <f t="shared" si="140"/>
        <v>0</v>
      </c>
      <c r="Z128" s="40">
        <f t="shared" si="141"/>
        <v>0</v>
      </c>
      <c r="AA128" s="44">
        <f t="shared" si="142"/>
        <v>639.31919637555438</v>
      </c>
      <c r="AB128" s="35">
        <f t="shared" si="143"/>
        <v>1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693.15883921894897</v>
      </c>
      <c r="AD128" s="57">
        <v>0</v>
      </c>
      <c r="AE128" s="57">
        <v>0</v>
      </c>
      <c r="AF128" s="61">
        <f t="shared" si="131"/>
        <v>1</v>
      </c>
      <c r="AG128" s="40">
        <f t="shared" si="144"/>
        <v>0</v>
      </c>
      <c r="AH128" s="40">
        <f t="shared" si="145"/>
        <v>0</v>
      </c>
      <c r="AI128" s="44">
        <f t="shared" si="146"/>
        <v>693.15883921894897</v>
      </c>
      <c r="AJ128" s="35">
        <f t="shared" si="132"/>
        <v>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750.12691185285462</v>
      </c>
      <c r="AL128" s="57">
        <v>0</v>
      </c>
      <c r="AM128" s="57">
        <v>0</v>
      </c>
      <c r="AN128" s="61">
        <f t="shared" si="133"/>
        <v>1</v>
      </c>
      <c r="AO128" s="40">
        <f t="shared" si="147"/>
        <v>0</v>
      </c>
      <c r="AP128" s="40">
        <f t="shared" si="148"/>
        <v>0</v>
      </c>
      <c r="AQ128" s="44">
        <f t="shared" si="149"/>
        <v>750.12691185285462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4</v>
      </c>
      <c r="G129" s="35">
        <f>SUMIFS(WORKING!$AC$3:$AC$6802,WORKING!$A$3:$A$6802,Results!$D$3,WORKING!$B$3:$B$6802,Results!A129,WORKING!$C$3:$C$6802,Results!C129)/1000</f>
        <v>1756.5014799999999</v>
      </c>
      <c r="H129" s="35">
        <f t="shared" si="134"/>
        <v>439.12536999999998</v>
      </c>
      <c r="I129" s="187" t="s">
        <v>754</v>
      </c>
      <c r="J129" s="212" t="s">
        <v>754</v>
      </c>
      <c r="K129" s="217">
        <f t="shared" si="135"/>
        <v>439.12536999999998</v>
      </c>
      <c r="L129" s="34">
        <f t="shared" si="128"/>
        <v>4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478.43262258161798</v>
      </c>
      <c r="N129" s="57">
        <v>0</v>
      </c>
      <c r="O129" s="57">
        <v>1</v>
      </c>
      <c r="P129" s="61">
        <f t="shared" si="129"/>
        <v>3</v>
      </c>
      <c r="Q129" s="40">
        <f t="shared" si="136"/>
        <v>0</v>
      </c>
      <c r="R129" s="40">
        <f t="shared" si="137"/>
        <v>-478.43262258161798</v>
      </c>
      <c r="S129" s="44">
        <f t="shared" si="138"/>
        <v>1435.2978677448539</v>
      </c>
      <c r="T129" s="35">
        <f t="shared" si="139"/>
        <v>3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519.24330617501619</v>
      </c>
      <c r="V129" s="57">
        <v>0</v>
      </c>
      <c r="W129" s="57">
        <v>0</v>
      </c>
      <c r="X129" s="61">
        <f t="shared" si="130"/>
        <v>3</v>
      </c>
      <c r="Y129" s="40">
        <f t="shared" si="140"/>
        <v>0</v>
      </c>
      <c r="Z129" s="40">
        <f t="shared" si="141"/>
        <v>0</v>
      </c>
      <c r="AA129" s="44">
        <f t="shared" si="142"/>
        <v>1557.7299185250486</v>
      </c>
      <c r="AB129" s="35">
        <f t="shared" si="143"/>
        <v>3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563.00860554786743</v>
      </c>
      <c r="AD129" s="57">
        <v>0</v>
      </c>
      <c r="AE129" s="57">
        <v>1</v>
      </c>
      <c r="AF129" s="61">
        <f t="shared" si="131"/>
        <v>2</v>
      </c>
      <c r="AG129" s="40">
        <f t="shared" si="144"/>
        <v>0</v>
      </c>
      <c r="AH129" s="40">
        <f t="shared" si="145"/>
        <v>-563.00860554786743</v>
      </c>
      <c r="AI129" s="44">
        <f t="shared" si="146"/>
        <v>1126.0172110957349</v>
      </c>
      <c r="AJ129" s="35">
        <f t="shared" si="132"/>
        <v>2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609.3208357313033</v>
      </c>
      <c r="AL129" s="57">
        <v>0</v>
      </c>
      <c r="AM129" s="57">
        <v>0</v>
      </c>
      <c r="AN129" s="61">
        <f t="shared" si="133"/>
        <v>2</v>
      </c>
      <c r="AO129" s="40">
        <f t="shared" si="147"/>
        <v>0</v>
      </c>
      <c r="AP129" s="40">
        <f t="shared" si="148"/>
        <v>0</v>
      </c>
      <c r="AQ129" s="44">
        <f t="shared" si="149"/>
        <v>1218.6416714626066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2</v>
      </c>
      <c r="G130" s="35">
        <f>SUMIFS(WORKING!$AC$3:$AC$6802,WORKING!$A$3:$A$6802,Results!$D$3,WORKING!$B$3:$B$6802,Results!A130,WORKING!$C$3:$C$6802,Results!C130)/1000</f>
        <v>1487.8811899999994</v>
      </c>
      <c r="H130" s="35">
        <f t="shared" si="134"/>
        <v>743.94059499999969</v>
      </c>
      <c r="I130" s="187" t="s">
        <v>754</v>
      </c>
      <c r="J130" s="212" t="s">
        <v>754</v>
      </c>
      <c r="K130" s="217">
        <f t="shared" si="135"/>
        <v>743.94059499999969</v>
      </c>
      <c r="L130" s="34">
        <f t="shared" si="128"/>
        <v>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812.07619723729965</v>
      </c>
      <c r="N130" s="57">
        <v>0</v>
      </c>
      <c r="O130" s="57">
        <v>0</v>
      </c>
      <c r="P130" s="61">
        <f t="shared" si="129"/>
        <v>2</v>
      </c>
      <c r="Q130" s="40">
        <f t="shared" si="136"/>
        <v>0</v>
      </c>
      <c r="R130" s="40">
        <f t="shared" si="137"/>
        <v>0</v>
      </c>
      <c r="S130" s="44">
        <f t="shared" si="138"/>
        <v>1624.1523944745993</v>
      </c>
      <c r="T130" s="35">
        <f t="shared" si="139"/>
        <v>2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881.50912191821124</v>
      </c>
      <c r="V130" s="57">
        <v>0</v>
      </c>
      <c r="W130" s="57">
        <v>0</v>
      </c>
      <c r="X130" s="61">
        <f t="shared" si="130"/>
        <v>2</v>
      </c>
      <c r="Y130" s="40">
        <f t="shared" si="140"/>
        <v>0</v>
      </c>
      <c r="Z130" s="40">
        <f t="shared" si="141"/>
        <v>0</v>
      </c>
      <c r="AA130" s="44">
        <f t="shared" si="142"/>
        <v>1763.0182438364225</v>
      </c>
      <c r="AB130" s="35">
        <f t="shared" si="143"/>
        <v>2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955.98431763657595</v>
      </c>
      <c r="AD130" s="57">
        <v>0</v>
      </c>
      <c r="AE130" s="57">
        <v>0</v>
      </c>
      <c r="AF130" s="61">
        <f t="shared" si="131"/>
        <v>2</v>
      </c>
      <c r="AG130" s="40">
        <f t="shared" si="144"/>
        <v>0</v>
      </c>
      <c r="AH130" s="40">
        <f t="shared" si="145"/>
        <v>0</v>
      </c>
      <c r="AI130" s="44">
        <f t="shared" si="146"/>
        <v>1911.9686352731519</v>
      </c>
      <c r="AJ130" s="35">
        <f t="shared" si="132"/>
        <v>2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1034.8119598169501</v>
      </c>
      <c r="AL130" s="57">
        <v>0</v>
      </c>
      <c r="AM130" s="57">
        <v>0</v>
      </c>
      <c r="AN130" s="61">
        <f t="shared" si="133"/>
        <v>2</v>
      </c>
      <c r="AO130" s="40">
        <f t="shared" si="147"/>
        <v>0</v>
      </c>
      <c r="AP130" s="40">
        <f t="shared" si="148"/>
        <v>0</v>
      </c>
      <c r="AQ130" s="44">
        <f t="shared" si="149"/>
        <v>2069.6239196339002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16</v>
      </c>
      <c r="G131" s="35">
        <f>SUMIFS(WORKING!$AC$3:$AC$6802,WORKING!$A$3:$A$6802,Results!$D$3,WORKING!$B$3:$B$6802,Results!A131,WORKING!$C$3:$C$6802,Results!C131)/1000</f>
        <v>10410.660850000004</v>
      </c>
      <c r="H131" s="35">
        <f t="shared" si="134"/>
        <v>650.66630312500024</v>
      </c>
      <c r="I131" s="187">
        <v>15</v>
      </c>
      <c r="J131" s="212">
        <v>10411</v>
      </c>
      <c r="K131" s="217">
        <f t="shared" si="135"/>
        <v>694.06666666666672</v>
      </c>
      <c r="L131" s="34">
        <f t="shared" si="128"/>
        <v>15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757.65882840919517</v>
      </c>
      <c r="N131" s="57">
        <v>0</v>
      </c>
      <c r="O131" s="57">
        <v>1</v>
      </c>
      <c r="P131" s="61">
        <f t="shared" si="129"/>
        <v>14</v>
      </c>
      <c r="Q131" s="40">
        <f t="shared" si="136"/>
        <v>0</v>
      </c>
      <c r="R131" s="40">
        <f t="shared" si="137"/>
        <v>-757.65882840919517</v>
      </c>
      <c r="S131" s="44">
        <f t="shared" si="138"/>
        <v>10607.223597728733</v>
      </c>
      <c r="T131" s="35">
        <f t="shared" si="139"/>
        <v>14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822.46551039235612</v>
      </c>
      <c r="V131" s="57">
        <v>0</v>
      </c>
      <c r="W131" s="57">
        <v>1</v>
      </c>
      <c r="X131" s="61">
        <f t="shared" si="130"/>
        <v>13</v>
      </c>
      <c r="Y131" s="40">
        <f t="shared" si="140"/>
        <v>0</v>
      </c>
      <c r="Z131" s="40">
        <f t="shared" si="141"/>
        <v>-822.46551039235612</v>
      </c>
      <c r="AA131" s="44">
        <f t="shared" si="142"/>
        <v>10692.05163510063</v>
      </c>
      <c r="AB131" s="35">
        <f t="shared" si="143"/>
        <v>13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891.98105352349921</v>
      </c>
      <c r="AD131" s="57">
        <v>0</v>
      </c>
      <c r="AE131" s="57">
        <v>1</v>
      </c>
      <c r="AF131" s="61">
        <f t="shared" si="131"/>
        <v>12</v>
      </c>
      <c r="AG131" s="40">
        <f t="shared" si="144"/>
        <v>0</v>
      </c>
      <c r="AH131" s="40">
        <f t="shared" si="145"/>
        <v>-891.98105352349921</v>
      </c>
      <c r="AI131" s="44">
        <f t="shared" si="146"/>
        <v>10703.772642281991</v>
      </c>
      <c r="AJ131" s="35">
        <f t="shared" si="132"/>
        <v>12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965.56225080536615</v>
      </c>
      <c r="AL131" s="57">
        <v>0</v>
      </c>
      <c r="AM131" s="57">
        <v>0</v>
      </c>
      <c r="AN131" s="61">
        <f t="shared" si="133"/>
        <v>12</v>
      </c>
      <c r="AO131" s="40">
        <f t="shared" si="147"/>
        <v>0</v>
      </c>
      <c r="AP131" s="40">
        <f t="shared" si="148"/>
        <v>0</v>
      </c>
      <c r="AQ131" s="44">
        <f t="shared" si="149"/>
        <v>11586.747009664394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17</v>
      </c>
      <c r="G132" s="35">
        <f>SUMIFS(WORKING!$AC$3:$AC$6802,WORKING!$A$3:$A$6802,Results!$D$3,WORKING!$B$3:$B$6802,Results!A132,WORKING!$C$3:$C$6802,Results!C132)/1000</f>
        <v>15555.374929999998</v>
      </c>
      <c r="H132" s="35">
        <f t="shared" si="134"/>
        <v>915.02205470588228</v>
      </c>
      <c r="I132" s="187" t="s">
        <v>754</v>
      </c>
      <c r="J132" s="212">
        <v>15605</v>
      </c>
      <c r="K132" s="217">
        <f t="shared" si="135"/>
        <v>917.94117647058829</v>
      </c>
      <c r="L132" s="34">
        <f t="shared" si="128"/>
        <v>17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962.06679071699375</v>
      </c>
      <c r="N132" s="57">
        <v>2</v>
      </c>
      <c r="O132" s="57">
        <v>0</v>
      </c>
      <c r="P132" s="61">
        <f t="shared" si="129"/>
        <v>19</v>
      </c>
      <c r="Q132" s="40">
        <f t="shared" si="136"/>
        <v>1924.1335814339875</v>
      </c>
      <c r="R132" s="40">
        <f t="shared" si="137"/>
        <v>0</v>
      </c>
      <c r="S132" s="44">
        <f t="shared" si="138"/>
        <v>18279.269023622881</v>
      </c>
      <c r="T132" s="35">
        <f t="shared" si="139"/>
        <v>19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1034.6682903222766</v>
      </c>
      <c r="V132" s="57">
        <v>0</v>
      </c>
      <c r="W132" s="57">
        <v>0</v>
      </c>
      <c r="X132" s="61">
        <f t="shared" si="130"/>
        <v>19</v>
      </c>
      <c r="Y132" s="40">
        <f t="shared" si="140"/>
        <v>0</v>
      </c>
      <c r="Z132" s="40">
        <f t="shared" si="141"/>
        <v>0</v>
      </c>
      <c r="AA132" s="44">
        <f t="shared" si="142"/>
        <v>19658.697516123255</v>
      </c>
      <c r="AB132" s="35">
        <f t="shared" si="143"/>
        <v>19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1111.6988335576675</v>
      </c>
      <c r="AD132" s="57">
        <v>0</v>
      </c>
      <c r="AE132" s="57">
        <v>0</v>
      </c>
      <c r="AF132" s="61">
        <f t="shared" si="131"/>
        <v>19</v>
      </c>
      <c r="AG132" s="40">
        <f t="shared" si="144"/>
        <v>0</v>
      </c>
      <c r="AH132" s="40">
        <f t="shared" si="145"/>
        <v>0</v>
      </c>
      <c r="AI132" s="44">
        <f t="shared" si="146"/>
        <v>21122.277837595684</v>
      </c>
      <c r="AJ132" s="35">
        <f t="shared" si="132"/>
        <v>19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1192.2084283931961</v>
      </c>
      <c r="AL132" s="57">
        <v>0</v>
      </c>
      <c r="AM132" s="57">
        <v>0</v>
      </c>
      <c r="AN132" s="61">
        <f t="shared" si="133"/>
        <v>19</v>
      </c>
      <c r="AO132" s="40">
        <f t="shared" si="147"/>
        <v>0</v>
      </c>
      <c r="AP132" s="40">
        <f t="shared" si="148"/>
        <v>0</v>
      </c>
      <c r="AQ132" s="44">
        <f t="shared" si="149"/>
        <v>22651.960139470724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8</v>
      </c>
      <c r="G133" s="35">
        <f>SUMIFS(WORKING!$AC$3:$AC$6802,WORKING!$A$3:$A$6802,Results!$D$3,WORKING!$B$3:$B$6802,Results!A133,WORKING!$C$3:$C$6802,Results!C133)/1000</f>
        <v>6241.4316600000002</v>
      </c>
      <c r="H133" s="35">
        <f t="shared" si="134"/>
        <v>780.17895750000002</v>
      </c>
      <c r="I133" s="187" t="s">
        <v>754</v>
      </c>
      <c r="J133" s="212">
        <v>6397</v>
      </c>
      <c r="K133" s="217">
        <f t="shared" si="135"/>
        <v>799.625</v>
      </c>
      <c r="L133" s="34">
        <f t="shared" si="128"/>
        <v>8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838.01687989936727</v>
      </c>
      <c r="N133" s="57">
        <v>1</v>
      </c>
      <c r="O133" s="57">
        <v>0</v>
      </c>
      <c r="P133" s="61">
        <f t="shared" si="129"/>
        <v>9</v>
      </c>
      <c r="Q133" s="40">
        <f t="shared" si="136"/>
        <v>838.01687989936727</v>
      </c>
      <c r="R133" s="40">
        <f t="shared" si="137"/>
        <v>0</v>
      </c>
      <c r="S133" s="44">
        <f t="shared" si="138"/>
        <v>7542.1519190943054</v>
      </c>
      <c r="T133" s="35">
        <f t="shared" si="139"/>
        <v>9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901.20732531908561</v>
      </c>
      <c r="V133" s="57">
        <v>0</v>
      </c>
      <c r="W133" s="57">
        <v>0</v>
      </c>
      <c r="X133" s="61">
        <f t="shared" si="130"/>
        <v>9</v>
      </c>
      <c r="Y133" s="40">
        <f t="shared" si="140"/>
        <v>0</v>
      </c>
      <c r="Z133" s="40">
        <f t="shared" si="141"/>
        <v>0</v>
      </c>
      <c r="AA133" s="44">
        <f t="shared" si="142"/>
        <v>8110.8659278717705</v>
      </c>
      <c r="AB133" s="35">
        <f t="shared" si="143"/>
        <v>9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968.2483255141882</v>
      </c>
      <c r="AD133" s="57">
        <v>0</v>
      </c>
      <c r="AE133" s="57">
        <v>0</v>
      </c>
      <c r="AF133" s="61">
        <f t="shared" si="131"/>
        <v>9</v>
      </c>
      <c r="AG133" s="40">
        <f t="shared" si="144"/>
        <v>0</v>
      </c>
      <c r="AH133" s="40">
        <f t="shared" si="145"/>
        <v>0</v>
      </c>
      <c r="AI133" s="44">
        <f t="shared" si="146"/>
        <v>8714.2349296276934</v>
      </c>
      <c r="AJ133" s="35">
        <f t="shared" si="132"/>
        <v>9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1038.3118803250163</v>
      </c>
      <c r="AL133" s="57">
        <v>0</v>
      </c>
      <c r="AM133" s="57">
        <v>0</v>
      </c>
      <c r="AN133" s="61">
        <f t="shared" si="133"/>
        <v>9</v>
      </c>
      <c r="AO133" s="40">
        <f t="shared" si="147"/>
        <v>0</v>
      </c>
      <c r="AP133" s="40">
        <f t="shared" si="148"/>
        <v>0</v>
      </c>
      <c r="AQ133" s="44">
        <f t="shared" si="149"/>
        <v>9344.8069229251469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350.44596000000001</v>
      </c>
      <c r="H134" s="35">
        <f t="shared" si="134"/>
        <v>0</v>
      </c>
      <c r="I134" s="187" t="s">
        <v>754</v>
      </c>
      <c r="J134" s="212">
        <v>415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2</v>
      </c>
      <c r="O134" s="57">
        <v>0</v>
      </c>
      <c r="P134" s="61">
        <f t="shared" si="129"/>
        <v>2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2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2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2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2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2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2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757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5</v>
      </c>
      <c r="O139" s="57">
        <v>0</v>
      </c>
      <c r="P139" s="61">
        <f t="shared" si="129"/>
        <v>5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5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5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5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5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5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5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74</v>
      </c>
      <c r="G140" s="41">
        <f>SUM(G120:G139)</f>
        <v>44263.147389999998</v>
      </c>
      <c r="H140" s="41">
        <f>IFERROR(G140/F140,0)</f>
        <v>598.1506404054054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73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44549.696309999999</v>
      </c>
      <c r="K140" s="41">
        <f>IFERROR(J140/I140,"")</f>
        <v>610.26981246575338</v>
      </c>
      <c r="L140" s="41">
        <f>SUM(L120:L139)</f>
        <v>73</v>
      </c>
      <c r="M140" s="41">
        <f>IFERROR(S140/P140,0)</f>
        <v>566.96236440302562</v>
      </c>
      <c r="N140" s="41">
        <f t="shared" ref="N140:T140" si="151">SUM(N120:N139)</f>
        <v>13</v>
      </c>
      <c r="O140" s="41">
        <f t="shared" si="151"/>
        <v>4</v>
      </c>
      <c r="P140" s="41">
        <f t="shared" si="151"/>
        <v>82</v>
      </c>
      <c r="Q140" s="41">
        <f t="shared" si="151"/>
        <v>3328.9580548720946</v>
      </c>
      <c r="R140" s="41">
        <f t="shared" si="151"/>
        <v>-2259.4081499919375</v>
      </c>
      <c r="S140" s="45">
        <f t="shared" si="151"/>
        <v>46490.913881048102</v>
      </c>
      <c r="T140" s="41">
        <f t="shared" si="151"/>
        <v>82</v>
      </c>
      <c r="U140" s="41">
        <f>IFERROR(AA140/X140,0)</f>
        <v>611.35825909219909</v>
      </c>
      <c r="V140" s="41">
        <f t="shared" ref="V140:AB140" si="152">SUM(V120:V139)</f>
        <v>0</v>
      </c>
      <c r="W140" s="41">
        <f t="shared" si="152"/>
        <v>2</v>
      </c>
      <c r="X140" s="41">
        <f t="shared" si="152"/>
        <v>80</v>
      </c>
      <c r="Y140" s="41">
        <f t="shared" si="152"/>
        <v>0</v>
      </c>
      <c r="Z140" s="41">
        <f t="shared" si="152"/>
        <v>-1293.611511922762</v>
      </c>
      <c r="AA140" s="45">
        <f t="shared" si="152"/>
        <v>48908.660727375929</v>
      </c>
      <c r="AB140" s="41">
        <f t="shared" si="152"/>
        <v>80</v>
      </c>
      <c r="AC140" s="41">
        <f>IFERROR(AI140/AF140,0)</f>
        <v>659.63153009978123</v>
      </c>
      <c r="AD140" s="41">
        <f t="shared" ref="AD140:AJ140" si="153">SUM(AD120:AD139)</f>
        <v>0</v>
      </c>
      <c r="AE140" s="41">
        <f t="shared" si="153"/>
        <v>3</v>
      </c>
      <c r="AF140" s="41">
        <f t="shared" si="153"/>
        <v>77</v>
      </c>
      <c r="AG140" s="41">
        <f t="shared" si="153"/>
        <v>0</v>
      </c>
      <c r="AH140" s="41">
        <f t="shared" si="153"/>
        <v>-1965.7404021147327</v>
      </c>
      <c r="AI140" s="45">
        <f t="shared" si="153"/>
        <v>50791.627817683155</v>
      </c>
      <c r="AJ140" s="41">
        <f t="shared" si="153"/>
        <v>77</v>
      </c>
      <c r="AK140" s="41">
        <f>IFERROR(AQ140/AN140,0)</f>
        <v>710.07192513143821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77</v>
      </c>
      <c r="AO140" s="41">
        <f t="shared" si="154"/>
        <v>0</v>
      </c>
      <c r="AP140" s="41">
        <f t="shared" si="154"/>
        <v>0</v>
      </c>
      <c r="AQ140" s="45">
        <f t="shared" si="154"/>
        <v>54675.538235120745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56978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53491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53595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57668.22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10487.086118951898</v>
      </c>
      <c r="T142" s="39"/>
      <c r="U142" s="39"/>
      <c r="V142" s="53"/>
      <c r="W142" s="53"/>
      <c r="X142" s="110"/>
      <c r="Y142" s="39"/>
      <c r="Z142" s="39"/>
      <c r="AA142" s="54">
        <f>AA141-AA140</f>
        <v>4582.3392726240709</v>
      </c>
      <c r="AB142" s="39"/>
      <c r="AC142" s="53"/>
      <c r="AD142" s="53"/>
      <c r="AE142" s="110"/>
      <c r="AF142" s="39"/>
      <c r="AG142" s="39"/>
      <c r="AH142" s="39"/>
      <c r="AI142" s="54">
        <f>AI141-AI140</f>
        <v>2803.3721823168453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2992.6817648792567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ICT Enterprise Development and Oversight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2</v>
      </c>
      <c r="G153" s="35">
        <f>SUMIFS(WORKING!$AC$3:$AC$6802,WORKING!$A$3:$A$6802,Results!$D$3,WORKING!$B$3:$B$6802,Results!A153,WORKING!$C$3:$C$6802,Results!C153)/1000</f>
        <v>546.91733000000011</v>
      </c>
      <c r="H153" s="35">
        <f t="shared" si="161"/>
        <v>273.45866500000005</v>
      </c>
      <c r="I153" s="187" t="s">
        <v>754</v>
      </c>
      <c r="J153" s="212" t="s">
        <v>754</v>
      </c>
      <c r="K153" s="217">
        <f t="shared" si="162"/>
        <v>273.45866500000005</v>
      </c>
      <c r="L153" s="34">
        <f t="shared" si="155"/>
        <v>2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297.47251803936888</v>
      </c>
      <c r="N153" s="57">
        <v>0</v>
      </c>
      <c r="O153" s="57">
        <v>0</v>
      </c>
      <c r="P153" s="61">
        <f t="shared" si="156"/>
        <v>2</v>
      </c>
      <c r="Q153" s="40">
        <f t="shared" si="163"/>
        <v>0</v>
      </c>
      <c r="R153" s="40">
        <f t="shared" si="164"/>
        <v>0</v>
      </c>
      <c r="S153" s="44">
        <f t="shared" si="165"/>
        <v>594.94503607873776</v>
      </c>
      <c r="T153" s="35">
        <f t="shared" si="166"/>
        <v>2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322.69899902494075</v>
      </c>
      <c r="V153" s="57">
        <v>0</v>
      </c>
      <c r="W153" s="57">
        <v>0</v>
      </c>
      <c r="X153" s="61">
        <f t="shared" si="157"/>
        <v>2</v>
      </c>
      <c r="Y153" s="40">
        <f t="shared" si="167"/>
        <v>0</v>
      </c>
      <c r="Z153" s="40">
        <f t="shared" si="168"/>
        <v>0</v>
      </c>
      <c r="AA153" s="44">
        <f t="shared" si="169"/>
        <v>645.39799804988149</v>
      </c>
      <c r="AB153" s="35">
        <f t="shared" si="170"/>
        <v>2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349.73788356366754</v>
      </c>
      <c r="AD153" s="57">
        <v>0</v>
      </c>
      <c r="AE153" s="57">
        <v>0</v>
      </c>
      <c r="AF153" s="61">
        <f t="shared" si="158"/>
        <v>2</v>
      </c>
      <c r="AG153" s="40">
        <f t="shared" si="171"/>
        <v>0</v>
      </c>
      <c r="AH153" s="40">
        <f t="shared" si="172"/>
        <v>0</v>
      </c>
      <c r="AI153" s="44">
        <f t="shared" si="173"/>
        <v>699.47576712733508</v>
      </c>
      <c r="AJ153" s="35">
        <f t="shared" si="159"/>
        <v>2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378.33383224389371</v>
      </c>
      <c r="AL153" s="57">
        <v>0</v>
      </c>
      <c r="AM153" s="57">
        <v>0</v>
      </c>
      <c r="AN153" s="61">
        <f t="shared" si="160"/>
        <v>2</v>
      </c>
      <c r="AO153" s="40">
        <f t="shared" si="174"/>
        <v>0</v>
      </c>
      <c r="AP153" s="40">
        <f t="shared" si="175"/>
        <v>0</v>
      </c>
      <c r="AQ153" s="44">
        <f t="shared" si="176"/>
        <v>756.66766448778742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2</v>
      </c>
      <c r="G154" s="35">
        <f>SUMIFS(WORKING!$AC$3:$AC$6802,WORKING!$A$3:$A$6802,Results!$D$3,WORKING!$B$3:$B$6802,Results!A154,WORKING!$C$3:$C$6802,Results!C154)/1000</f>
        <v>577.07236</v>
      </c>
      <c r="H154" s="35">
        <f t="shared" si="161"/>
        <v>288.53618</v>
      </c>
      <c r="I154" s="187" t="s">
        <v>754</v>
      </c>
      <c r="J154" s="212" t="s">
        <v>754</v>
      </c>
      <c r="K154" s="217">
        <f t="shared" si="162"/>
        <v>288.53618</v>
      </c>
      <c r="L154" s="34">
        <f t="shared" si="155"/>
        <v>2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314.42750171177153</v>
      </c>
      <c r="N154" s="57">
        <v>1</v>
      </c>
      <c r="O154" s="57">
        <v>1</v>
      </c>
      <c r="P154" s="61">
        <f t="shared" si="156"/>
        <v>2</v>
      </c>
      <c r="Q154" s="40">
        <f t="shared" si="163"/>
        <v>314.42750171177153</v>
      </c>
      <c r="R154" s="40">
        <f t="shared" si="164"/>
        <v>-314.42750171177153</v>
      </c>
      <c r="S154" s="44">
        <f t="shared" si="165"/>
        <v>628.85500342354305</v>
      </c>
      <c r="T154" s="35">
        <f t="shared" si="166"/>
        <v>2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341.26680058012869</v>
      </c>
      <c r="V154" s="57">
        <v>0</v>
      </c>
      <c r="W154" s="57">
        <v>1</v>
      </c>
      <c r="X154" s="61">
        <f t="shared" si="157"/>
        <v>1</v>
      </c>
      <c r="Y154" s="40">
        <f t="shared" si="167"/>
        <v>0</v>
      </c>
      <c r="Z154" s="40">
        <f t="shared" si="168"/>
        <v>-341.26680058012869</v>
      </c>
      <c r="AA154" s="44">
        <f t="shared" si="169"/>
        <v>341.26680058012869</v>
      </c>
      <c r="AB154" s="35">
        <f t="shared" si="170"/>
        <v>1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370.05102747226584</v>
      </c>
      <c r="AD154" s="57">
        <v>0</v>
      </c>
      <c r="AE154" s="57">
        <v>0</v>
      </c>
      <c r="AF154" s="61">
        <f t="shared" si="158"/>
        <v>1</v>
      </c>
      <c r="AG154" s="40">
        <f t="shared" si="171"/>
        <v>0</v>
      </c>
      <c r="AH154" s="40">
        <f t="shared" si="172"/>
        <v>0</v>
      </c>
      <c r="AI154" s="44">
        <f t="shared" si="173"/>
        <v>370.05102747226584</v>
      </c>
      <c r="AJ154" s="35">
        <f t="shared" si="159"/>
        <v>1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400.51258115699824</v>
      </c>
      <c r="AL154" s="57">
        <v>0</v>
      </c>
      <c r="AM154" s="57">
        <v>0</v>
      </c>
      <c r="AN154" s="61">
        <f t="shared" si="160"/>
        <v>1</v>
      </c>
      <c r="AO154" s="40">
        <f t="shared" si="174"/>
        <v>0</v>
      </c>
      <c r="AP154" s="40">
        <f t="shared" si="175"/>
        <v>0</v>
      </c>
      <c r="AQ154" s="44">
        <f t="shared" si="176"/>
        <v>400.51258115699824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</v>
      </c>
      <c r="G155" s="35">
        <f>SUMIFS(WORKING!$AC$3:$AC$6802,WORKING!$A$3:$A$6802,Results!$D$3,WORKING!$B$3:$B$6802,Results!A155,WORKING!$C$3:$C$6802,Results!C155)/1000</f>
        <v>891.25358999999992</v>
      </c>
      <c r="H155" s="35">
        <f t="shared" si="161"/>
        <v>445.62679499999996</v>
      </c>
      <c r="I155" s="187" t="s">
        <v>754</v>
      </c>
      <c r="J155" s="212">
        <v>919</v>
      </c>
      <c r="K155" s="217">
        <f t="shared" si="162"/>
        <v>459.5</v>
      </c>
      <c r="L155" s="34">
        <f t="shared" si="155"/>
        <v>2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500.28324964407744</v>
      </c>
      <c r="N155" s="57">
        <v>0</v>
      </c>
      <c r="O155" s="57">
        <v>0</v>
      </c>
      <c r="P155" s="61">
        <f t="shared" si="156"/>
        <v>2</v>
      </c>
      <c r="Q155" s="40">
        <f t="shared" si="163"/>
        <v>0</v>
      </c>
      <c r="R155" s="40">
        <f t="shared" si="164"/>
        <v>0</v>
      </c>
      <c r="S155" s="44">
        <f t="shared" si="165"/>
        <v>1000.5664992881549</v>
      </c>
      <c r="T155" s="35">
        <f t="shared" si="166"/>
        <v>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542.84906633731612</v>
      </c>
      <c r="V155" s="57">
        <v>0</v>
      </c>
      <c r="W155" s="57">
        <v>0</v>
      </c>
      <c r="X155" s="61">
        <f t="shared" si="157"/>
        <v>2</v>
      </c>
      <c r="Y155" s="40">
        <f t="shared" si="167"/>
        <v>0</v>
      </c>
      <c r="Z155" s="40">
        <f t="shared" si="168"/>
        <v>0</v>
      </c>
      <c r="AA155" s="44">
        <f t="shared" si="169"/>
        <v>1085.6981326746322</v>
      </c>
      <c r="AB155" s="35">
        <f t="shared" si="170"/>
        <v>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588.48619291794341</v>
      </c>
      <c r="AD155" s="57">
        <v>0</v>
      </c>
      <c r="AE155" s="57">
        <v>1</v>
      </c>
      <c r="AF155" s="61">
        <f t="shared" si="158"/>
        <v>1</v>
      </c>
      <c r="AG155" s="40">
        <f t="shared" si="171"/>
        <v>0</v>
      </c>
      <c r="AH155" s="40">
        <f t="shared" si="172"/>
        <v>-588.48619291794341</v>
      </c>
      <c r="AI155" s="44">
        <f t="shared" si="173"/>
        <v>588.48619291794341</v>
      </c>
      <c r="AJ155" s="35">
        <f t="shared" si="159"/>
        <v>1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636.76681138301285</v>
      </c>
      <c r="AL155" s="57">
        <v>0</v>
      </c>
      <c r="AM155" s="57">
        <v>0</v>
      </c>
      <c r="AN155" s="61">
        <f t="shared" si="160"/>
        <v>1</v>
      </c>
      <c r="AO155" s="40">
        <f t="shared" si="174"/>
        <v>0</v>
      </c>
      <c r="AP155" s="40">
        <f t="shared" si="175"/>
        <v>0</v>
      </c>
      <c r="AQ155" s="44">
        <f t="shared" si="176"/>
        <v>636.76681138301285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</v>
      </c>
      <c r="G156" s="35">
        <f>SUMIFS(WORKING!$AC$3:$AC$6802,WORKING!$A$3:$A$6802,Results!$D$3,WORKING!$B$3:$B$6802,Results!A156,WORKING!$C$3:$C$6802,Results!C156)/1000</f>
        <v>382.37568000000005</v>
      </c>
      <c r="H156" s="35">
        <f t="shared" si="161"/>
        <v>382.37568000000005</v>
      </c>
      <c r="I156" s="187" t="s">
        <v>754</v>
      </c>
      <c r="J156" s="212" t="s">
        <v>754</v>
      </c>
      <c r="K156" s="217">
        <f t="shared" si="162"/>
        <v>382.37568000000005</v>
      </c>
      <c r="L156" s="34">
        <f t="shared" si="155"/>
        <v>1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417.57154603198029</v>
      </c>
      <c r="N156" s="57">
        <v>0</v>
      </c>
      <c r="O156" s="57">
        <v>0</v>
      </c>
      <c r="P156" s="61">
        <f t="shared" si="156"/>
        <v>1</v>
      </c>
      <c r="Q156" s="40">
        <f t="shared" si="163"/>
        <v>0</v>
      </c>
      <c r="R156" s="40">
        <f t="shared" si="164"/>
        <v>0</v>
      </c>
      <c r="S156" s="44">
        <f t="shared" si="165"/>
        <v>417.57154603198029</v>
      </c>
      <c r="T156" s="35">
        <f t="shared" si="166"/>
        <v>1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453.48583952814215</v>
      </c>
      <c r="V156" s="57">
        <v>0</v>
      </c>
      <c r="W156" s="57">
        <v>0</v>
      </c>
      <c r="X156" s="61">
        <f t="shared" si="157"/>
        <v>1</v>
      </c>
      <c r="Y156" s="40">
        <f t="shared" si="167"/>
        <v>0</v>
      </c>
      <c r="Z156" s="40">
        <f t="shared" si="168"/>
        <v>0</v>
      </c>
      <c r="AA156" s="44">
        <f t="shared" si="169"/>
        <v>453.48583952814215</v>
      </c>
      <c r="AB156" s="35">
        <f t="shared" si="170"/>
        <v>1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492.02906735840008</v>
      </c>
      <c r="AD156" s="57">
        <v>0</v>
      </c>
      <c r="AE156" s="57">
        <v>0</v>
      </c>
      <c r="AF156" s="61">
        <f t="shared" si="158"/>
        <v>1</v>
      </c>
      <c r="AG156" s="40">
        <f t="shared" si="171"/>
        <v>0</v>
      </c>
      <c r="AH156" s="40">
        <f t="shared" si="172"/>
        <v>0</v>
      </c>
      <c r="AI156" s="44">
        <f t="shared" si="173"/>
        <v>492.02906735840008</v>
      </c>
      <c r="AJ156" s="35">
        <f t="shared" si="159"/>
        <v>1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532.85009088910488</v>
      </c>
      <c r="AL156" s="57">
        <v>0</v>
      </c>
      <c r="AM156" s="57">
        <v>0</v>
      </c>
      <c r="AN156" s="61">
        <f t="shared" si="160"/>
        <v>1</v>
      </c>
      <c r="AO156" s="40">
        <f t="shared" si="174"/>
        <v>0</v>
      </c>
      <c r="AP156" s="40">
        <f t="shared" si="175"/>
        <v>0</v>
      </c>
      <c r="AQ156" s="44">
        <f t="shared" si="176"/>
        <v>532.85009088910488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3</v>
      </c>
      <c r="G158" s="35">
        <f>SUMIFS(WORKING!$AC$3:$AC$6802,WORKING!$A$3:$A$6802,Results!$D$3,WORKING!$B$3:$B$6802,Results!A158,WORKING!$C$3:$C$6802,Results!C158)/1000</f>
        <v>2066.4175499999997</v>
      </c>
      <c r="H158" s="35">
        <f t="shared" si="161"/>
        <v>688.80584999999985</v>
      </c>
      <c r="I158" s="187" t="s">
        <v>754</v>
      </c>
      <c r="J158" s="212" t="s">
        <v>754</v>
      </c>
      <c r="K158" s="217">
        <f t="shared" si="162"/>
        <v>688.80584999999985</v>
      </c>
      <c r="L158" s="34">
        <f t="shared" si="155"/>
        <v>3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752.16816366679996</v>
      </c>
      <c r="N158" s="57">
        <v>0</v>
      </c>
      <c r="O158" s="57">
        <v>3</v>
      </c>
      <c r="P158" s="61">
        <f t="shared" si="156"/>
        <v>0</v>
      </c>
      <c r="Q158" s="40">
        <f t="shared" si="163"/>
        <v>0</v>
      </c>
      <c r="R158" s="40">
        <f t="shared" si="164"/>
        <v>-2256.5044910003999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816.77902114532401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886.11100215992428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959.52964635352293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3</v>
      </c>
      <c r="G159" s="35">
        <f>SUMIFS(WORKING!$AC$3:$AC$6802,WORKING!$A$3:$A$6802,Results!$D$3,WORKING!$B$3:$B$6802,Results!A159,WORKING!$C$3:$C$6802,Results!C159)/1000</f>
        <v>1725.2449299999998</v>
      </c>
      <c r="H159" s="35">
        <f t="shared" si="161"/>
        <v>575.08164333333332</v>
      </c>
      <c r="I159" s="187" t="s">
        <v>754</v>
      </c>
      <c r="J159" s="212" t="s">
        <v>754</v>
      </c>
      <c r="K159" s="217">
        <f t="shared" si="162"/>
        <v>575.08164333333332</v>
      </c>
      <c r="L159" s="34">
        <f t="shared" si="155"/>
        <v>3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627.94397198786669</v>
      </c>
      <c r="N159" s="57">
        <v>3</v>
      </c>
      <c r="O159" s="57">
        <v>0</v>
      </c>
      <c r="P159" s="61">
        <f t="shared" si="156"/>
        <v>6</v>
      </c>
      <c r="Q159" s="40">
        <f t="shared" si="163"/>
        <v>1883.8319159636001</v>
      </c>
      <c r="R159" s="40">
        <f t="shared" si="164"/>
        <v>0</v>
      </c>
      <c r="S159" s="44">
        <f t="shared" si="165"/>
        <v>3767.6638319272001</v>
      </c>
      <c r="T159" s="35">
        <f t="shared" si="166"/>
        <v>6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681.84206816915514</v>
      </c>
      <c r="V159" s="57">
        <v>0</v>
      </c>
      <c r="W159" s="57">
        <v>0</v>
      </c>
      <c r="X159" s="61">
        <f t="shared" si="157"/>
        <v>6</v>
      </c>
      <c r="Y159" s="40">
        <f t="shared" si="167"/>
        <v>0</v>
      </c>
      <c r="Z159" s="40">
        <f t="shared" si="168"/>
        <v>0</v>
      </c>
      <c r="AA159" s="44">
        <f t="shared" si="169"/>
        <v>4091.0524090149311</v>
      </c>
      <c r="AB159" s="35">
        <f t="shared" si="170"/>
        <v>6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739.67444966560856</v>
      </c>
      <c r="AD159" s="57">
        <v>0</v>
      </c>
      <c r="AE159" s="57">
        <v>1</v>
      </c>
      <c r="AF159" s="61">
        <f t="shared" si="158"/>
        <v>5</v>
      </c>
      <c r="AG159" s="40">
        <f t="shared" si="171"/>
        <v>0</v>
      </c>
      <c r="AH159" s="40">
        <f t="shared" si="172"/>
        <v>-739.67444966560856</v>
      </c>
      <c r="AI159" s="44">
        <f t="shared" si="173"/>
        <v>3698.3722483280426</v>
      </c>
      <c r="AJ159" s="35">
        <f t="shared" si="159"/>
        <v>5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800.91081106167132</v>
      </c>
      <c r="AL159" s="57">
        <v>0</v>
      </c>
      <c r="AM159" s="57">
        <v>0</v>
      </c>
      <c r="AN159" s="61">
        <f t="shared" si="160"/>
        <v>5</v>
      </c>
      <c r="AO159" s="40">
        <f t="shared" si="174"/>
        <v>0</v>
      </c>
      <c r="AP159" s="40">
        <f t="shared" si="175"/>
        <v>0</v>
      </c>
      <c r="AQ159" s="44">
        <f t="shared" si="176"/>
        <v>4004.5540553083565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5</v>
      </c>
      <c r="G160" s="35">
        <f>SUMIFS(WORKING!$AC$3:$AC$6802,WORKING!$A$3:$A$6802,Results!$D$3,WORKING!$B$3:$B$6802,Results!A160,WORKING!$C$3:$C$6802,Results!C160)/1000</f>
        <v>5168.8977700000005</v>
      </c>
      <c r="H160" s="35">
        <f t="shared" si="161"/>
        <v>1033.7795540000002</v>
      </c>
      <c r="I160" s="187" t="s">
        <v>754</v>
      </c>
      <c r="J160" s="212" t="s">
        <v>754</v>
      </c>
      <c r="K160" s="217">
        <f t="shared" si="162"/>
        <v>1033.7795540000002</v>
      </c>
      <c r="L160" s="34">
        <f t="shared" si="155"/>
        <v>5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1083.7043976571101</v>
      </c>
      <c r="N160" s="57">
        <v>5</v>
      </c>
      <c r="O160" s="57">
        <v>0</v>
      </c>
      <c r="P160" s="61">
        <f t="shared" si="156"/>
        <v>10</v>
      </c>
      <c r="Q160" s="40">
        <f t="shared" si="163"/>
        <v>5418.5219882855508</v>
      </c>
      <c r="R160" s="40">
        <f t="shared" si="164"/>
        <v>0</v>
      </c>
      <c r="S160" s="44">
        <f t="shared" si="165"/>
        <v>10837.043976571102</v>
      </c>
      <c r="T160" s="35">
        <f t="shared" si="166"/>
        <v>10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1165.7334990392851</v>
      </c>
      <c r="V160" s="57">
        <v>0</v>
      </c>
      <c r="W160" s="57">
        <v>0</v>
      </c>
      <c r="X160" s="61">
        <f t="shared" si="157"/>
        <v>10</v>
      </c>
      <c r="Y160" s="40">
        <f t="shared" si="167"/>
        <v>0</v>
      </c>
      <c r="Z160" s="40">
        <f t="shared" si="168"/>
        <v>0</v>
      </c>
      <c r="AA160" s="44">
        <f t="shared" si="169"/>
        <v>11657.33499039285</v>
      </c>
      <c r="AB160" s="35">
        <f t="shared" si="170"/>
        <v>10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1252.7886570845626</v>
      </c>
      <c r="AD160" s="57">
        <v>0</v>
      </c>
      <c r="AE160" s="57">
        <v>0</v>
      </c>
      <c r="AF160" s="61">
        <f t="shared" si="158"/>
        <v>10</v>
      </c>
      <c r="AG160" s="40">
        <f t="shared" si="171"/>
        <v>0</v>
      </c>
      <c r="AH160" s="40">
        <f t="shared" si="172"/>
        <v>0</v>
      </c>
      <c r="AI160" s="44">
        <f t="shared" si="173"/>
        <v>12527.886570845625</v>
      </c>
      <c r="AJ160" s="35">
        <f t="shared" si="159"/>
        <v>10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1343.802286189165</v>
      </c>
      <c r="AL160" s="57">
        <v>0</v>
      </c>
      <c r="AM160" s="57">
        <v>0</v>
      </c>
      <c r="AN160" s="61">
        <f t="shared" si="160"/>
        <v>10</v>
      </c>
      <c r="AO160" s="40">
        <f t="shared" si="174"/>
        <v>0</v>
      </c>
      <c r="AP160" s="40">
        <f t="shared" si="175"/>
        <v>0</v>
      </c>
      <c r="AQ160" s="44">
        <f t="shared" si="176"/>
        <v>13438.02286189165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7</v>
      </c>
      <c r="G161" s="35">
        <f>SUMIFS(WORKING!$AC$3:$AC$6802,WORKING!$A$3:$A$6802,Results!$D$3,WORKING!$B$3:$B$6802,Results!A161,WORKING!$C$3:$C$6802,Results!C161)/1000</f>
        <v>5484.4520599999996</v>
      </c>
      <c r="H161" s="35">
        <f t="shared" si="161"/>
        <v>783.49315142857142</v>
      </c>
      <c r="I161" s="187">
        <v>6</v>
      </c>
      <c r="J161" s="212">
        <v>5484</v>
      </c>
      <c r="K161" s="217">
        <f t="shared" si="162"/>
        <v>914</v>
      </c>
      <c r="L161" s="34">
        <f t="shared" si="155"/>
        <v>6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958.1233585853505</v>
      </c>
      <c r="N161" s="57">
        <v>0</v>
      </c>
      <c r="O161" s="57">
        <v>0</v>
      </c>
      <c r="P161" s="61">
        <f t="shared" si="156"/>
        <v>6</v>
      </c>
      <c r="Q161" s="40">
        <f t="shared" si="163"/>
        <v>0</v>
      </c>
      <c r="R161" s="40">
        <f t="shared" si="164"/>
        <v>0</v>
      </c>
      <c r="S161" s="44">
        <f t="shared" si="165"/>
        <v>5748.7401515121028</v>
      </c>
      <c r="T161" s="35">
        <f t="shared" si="166"/>
        <v>6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1030.6286341569398</v>
      </c>
      <c r="V161" s="57">
        <v>0</v>
      </c>
      <c r="W161" s="57">
        <v>0</v>
      </c>
      <c r="X161" s="61">
        <f t="shared" si="157"/>
        <v>6</v>
      </c>
      <c r="Y161" s="40">
        <f t="shared" si="167"/>
        <v>0</v>
      </c>
      <c r="Z161" s="40">
        <f t="shared" si="168"/>
        <v>0</v>
      </c>
      <c r="AA161" s="44">
        <f t="shared" si="169"/>
        <v>6183.7718049416389</v>
      </c>
      <c r="AB161" s="35">
        <f t="shared" si="170"/>
        <v>6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1107.5748241816848</v>
      </c>
      <c r="AD161" s="57">
        <v>0</v>
      </c>
      <c r="AE161" s="57">
        <v>0</v>
      </c>
      <c r="AF161" s="61">
        <f t="shared" si="158"/>
        <v>6</v>
      </c>
      <c r="AG161" s="40">
        <f t="shared" si="171"/>
        <v>0</v>
      </c>
      <c r="AH161" s="40">
        <f t="shared" si="172"/>
        <v>0</v>
      </c>
      <c r="AI161" s="44">
        <f t="shared" si="173"/>
        <v>6645.4489450901092</v>
      </c>
      <c r="AJ161" s="35">
        <f t="shared" si="159"/>
        <v>6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1188.0178710052073</v>
      </c>
      <c r="AL161" s="57">
        <v>0</v>
      </c>
      <c r="AM161" s="57">
        <v>0</v>
      </c>
      <c r="AN161" s="61">
        <f t="shared" si="160"/>
        <v>6</v>
      </c>
      <c r="AO161" s="40">
        <f t="shared" si="174"/>
        <v>0</v>
      </c>
      <c r="AP161" s="40">
        <f t="shared" si="175"/>
        <v>0</v>
      </c>
      <c r="AQ161" s="44">
        <f t="shared" si="176"/>
        <v>7128.107226031244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748.76378</v>
      </c>
      <c r="H162" s="35">
        <f t="shared" si="161"/>
        <v>748.76378</v>
      </c>
      <c r="I162" s="187" t="s">
        <v>754</v>
      </c>
      <c r="J162" s="212">
        <v>858</v>
      </c>
      <c r="K162" s="217">
        <f t="shared" si="162"/>
        <v>858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898.0445505917387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898.0445505917387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964.5261789144356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964.5261789144356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1034.9521051579181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1034.9521051579181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1108.4229570509615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1108.4229570509615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758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26</v>
      </c>
      <c r="G168" s="41">
        <f>SUM(G148:G167)</f>
        <v>17591.395049999999</v>
      </c>
      <c r="H168" s="41">
        <f>IFERROR(G168/F168,0)</f>
        <v>676.59211730769232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25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17727.925620000002</v>
      </c>
      <c r="K168" s="41">
        <f>IFERROR(J168/I168,"")</f>
        <v>709.11702480000008</v>
      </c>
      <c r="L168" s="41">
        <f>SUM(L148:L167)</f>
        <v>25</v>
      </c>
      <c r="M168" s="41">
        <f>IFERROR(S168/P168,0)</f>
        <v>796.44768651415188</v>
      </c>
      <c r="N168" s="41">
        <f t="shared" ref="N168:T168" si="177">SUM(N148:N167)</f>
        <v>9</v>
      </c>
      <c r="O168" s="41">
        <f t="shared" si="177"/>
        <v>4</v>
      </c>
      <c r="P168" s="41">
        <f t="shared" si="177"/>
        <v>30</v>
      </c>
      <c r="Q168" s="41">
        <f t="shared" si="177"/>
        <v>7616.7814059609227</v>
      </c>
      <c r="R168" s="41">
        <f t="shared" si="177"/>
        <v>-2570.9319927121714</v>
      </c>
      <c r="S168" s="45">
        <f t="shared" si="177"/>
        <v>23893.430595424557</v>
      </c>
      <c r="T168" s="41">
        <f t="shared" si="177"/>
        <v>30</v>
      </c>
      <c r="U168" s="41">
        <f>IFERROR(AA168/X168,0)</f>
        <v>876.63910876195314</v>
      </c>
      <c r="V168" s="41">
        <f t="shared" ref="V168:AB168" si="178">SUM(V148:V167)</f>
        <v>0</v>
      </c>
      <c r="W168" s="41">
        <f t="shared" si="178"/>
        <v>1</v>
      </c>
      <c r="X168" s="41">
        <f t="shared" si="178"/>
        <v>29</v>
      </c>
      <c r="Y168" s="41">
        <f t="shared" si="178"/>
        <v>0</v>
      </c>
      <c r="Z168" s="41">
        <f t="shared" si="178"/>
        <v>-341.26680058012869</v>
      </c>
      <c r="AA168" s="45">
        <f t="shared" si="178"/>
        <v>25422.53415409664</v>
      </c>
      <c r="AB168" s="41">
        <f t="shared" si="178"/>
        <v>29</v>
      </c>
      <c r="AC168" s="41">
        <f>IFERROR(AI168/AF168,0)</f>
        <v>965.06303423324584</v>
      </c>
      <c r="AD168" s="41">
        <f t="shared" ref="AD168:AJ168" si="179">SUM(AD148:AD167)</f>
        <v>0</v>
      </c>
      <c r="AE168" s="41">
        <f t="shared" si="179"/>
        <v>2</v>
      </c>
      <c r="AF168" s="41">
        <f t="shared" si="179"/>
        <v>27</v>
      </c>
      <c r="AG168" s="41">
        <f t="shared" si="179"/>
        <v>0</v>
      </c>
      <c r="AH168" s="41">
        <f t="shared" si="179"/>
        <v>-1328.1606425835521</v>
      </c>
      <c r="AI168" s="45">
        <f t="shared" si="179"/>
        <v>26056.701924297638</v>
      </c>
      <c r="AJ168" s="41">
        <f t="shared" si="179"/>
        <v>27</v>
      </c>
      <c r="AK168" s="41">
        <f>IFERROR(AQ168/AN168,0)</f>
        <v>1037.2557128962635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27</v>
      </c>
      <c r="AO168" s="41">
        <f t="shared" si="180"/>
        <v>0</v>
      </c>
      <c r="AP168" s="41">
        <f t="shared" si="180"/>
        <v>0</v>
      </c>
      <c r="AQ168" s="45">
        <f t="shared" si="180"/>
        <v>28005.904248199113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31269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31101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36973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39782.948000000004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7375.5694045754426</v>
      </c>
      <c r="T170" s="39"/>
      <c r="U170" s="39"/>
      <c r="V170" s="53"/>
      <c r="W170" s="53"/>
      <c r="X170" s="110"/>
      <c r="Y170" s="39"/>
      <c r="Z170" s="39"/>
      <c r="AA170" s="54">
        <f>AA169-AA168</f>
        <v>5678.4658459033599</v>
      </c>
      <c r="AB170" s="39"/>
      <c r="AC170" s="53"/>
      <c r="AD170" s="53"/>
      <c r="AE170" s="110"/>
      <c r="AF170" s="39"/>
      <c r="AG170" s="39"/>
      <c r="AH170" s="39"/>
      <c r="AI170" s="54">
        <f>AI169-AI168</f>
        <v>10916.298075702362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11777.043751800891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ICT Infrastructure Support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23.642679999999999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3</v>
      </c>
      <c r="G183" s="35">
        <f>SUMIFS(WORKING!$AC$3:$AC$6802,WORKING!$A$3:$A$6802,Results!$D$3,WORKING!$B$3:$B$6802,Results!A183,WORKING!$C$3:$C$6802,Results!C183)/1000</f>
        <v>1280.1090900000002</v>
      </c>
      <c r="H183" s="35">
        <f t="shared" si="187"/>
        <v>426.70303000000007</v>
      </c>
      <c r="I183" s="187" t="s">
        <v>754</v>
      </c>
      <c r="J183" s="212" t="s">
        <v>754</v>
      </c>
      <c r="K183" s="217">
        <f t="shared" si="188"/>
        <v>426.70303000000007</v>
      </c>
      <c r="L183" s="34">
        <f t="shared" si="181"/>
        <v>3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464.60336537957841</v>
      </c>
      <c r="N183" s="57">
        <v>0</v>
      </c>
      <c r="O183" s="57">
        <v>0</v>
      </c>
      <c r="P183" s="61">
        <f t="shared" si="182"/>
        <v>3</v>
      </c>
      <c r="Q183" s="40">
        <f t="shared" si="189"/>
        <v>0</v>
      </c>
      <c r="R183" s="40">
        <f t="shared" si="190"/>
        <v>0</v>
      </c>
      <c r="S183" s="44">
        <f t="shared" si="191"/>
        <v>1393.8100961387352</v>
      </c>
      <c r="T183" s="35">
        <f t="shared" si="192"/>
        <v>3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504.14069730997949</v>
      </c>
      <c r="V183" s="57">
        <v>0</v>
      </c>
      <c r="W183" s="57">
        <v>0</v>
      </c>
      <c r="X183" s="61">
        <f t="shared" si="183"/>
        <v>3</v>
      </c>
      <c r="Y183" s="40">
        <f t="shared" si="193"/>
        <v>0</v>
      </c>
      <c r="Z183" s="40">
        <f t="shared" si="194"/>
        <v>0</v>
      </c>
      <c r="AA183" s="44">
        <f t="shared" si="195"/>
        <v>1512.4220919299385</v>
      </c>
      <c r="AB183" s="35">
        <f t="shared" si="196"/>
        <v>3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546.53159017134101</v>
      </c>
      <c r="AD183" s="57">
        <v>0</v>
      </c>
      <c r="AE183" s="57">
        <v>1</v>
      </c>
      <c r="AF183" s="61">
        <f t="shared" si="184"/>
        <v>2</v>
      </c>
      <c r="AG183" s="40">
        <f t="shared" si="197"/>
        <v>0</v>
      </c>
      <c r="AH183" s="40">
        <f t="shared" si="198"/>
        <v>-546.53159017134101</v>
      </c>
      <c r="AI183" s="44">
        <f t="shared" si="199"/>
        <v>1093.063180342682</v>
      </c>
      <c r="AJ183" s="35">
        <f t="shared" si="185"/>
        <v>2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591.37893797053732</v>
      </c>
      <c r="AL183" s="57">
        <v>0</v>
      </c>
      <c r="AM183" s="57">
        <v>0</v>
      </c>
      <c r="AN183" s="61">
        <f t="shared" si="186"/>
        <v>2</v>
      </c>
      <c r="AO183" s="40">
        <f t="shared" si="200"/>
        <v>0</v>
      </c>
      <c r="AP183" s="40">
        <f t="shared" si="201"/>
        <v>0</v>
      </c>
      <c r="AQ183" s="44">
        <f t="shared" si="202"/>
        <v>1182.7578759410746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1</v>
      </c>
      <c r="G184" s="35">
        <f>SUMIFS(WORKING!$AC$3:$AC$6802,WORKING!$A$3:$A$6802,Results!$D$3,WORKING!$B$3:$B$6802,Results!A184,WORKING!$C$3:$C$6802,Results!C184)/1000</f>
        <v>596.0157999999999</v>
      </c>
      <c r="H184" s="35">
        <f t="shared" si="187"/>
        <v>596.0157999999999</v>
      </c>
      <c r="I184" s="187" t="s">
        <v>754</v>
      </c>
      <c r="J184" s="212" t="s">
        <v>754</v>
      </c>
      <c r="K184" s="217">
        <f t="shared" si="188"/>
        <v>596.0157999999999</v>
      </c>
      <c r="L184" s="34">
        <f t="shared" si="181"/>
        <v>1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649.39160024374507</v>
      </c>
      <c r="N184" s="57">
        <v>0</v>
      </c>
      <c r="O184" s="57">
        <v>1</v>
      </c>
      <c r="P184" s="61">
        <f t="shared" si="182"/>
        <v>0</v>
      </c>
      <c r="Q184" s="40">
        <f t="shared" si="189"/>
        <v>0</v>
      </c>
      <c r="R184" s="40">
        <f t="shared" si="190"/>
        <v>-649.39160024374507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704.79403859981221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764.20829408607869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827.08104999888008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1</v>
      </c>
      <c r="G185" s="35">
        <f>SUMIFS(WORKING!$AC$3:$AC$6802,WORKING!$A$3:$A$6802,Results!$D$3,WORKING!$B$3:$B$6802,Results!A185,WORKING!$C$3:$C$6802,Results!C185)/1000</f>
        <v>373.45621</v>
      </c>
      <c r="H185" s="35">
        <f t="shared" si="187"/>
        <v>373.45621</v>
      </c>
      <c r="I185" s="187" t="s">
        <v>754</v>
      </c>
      <c r="J185" s="212" t="s">
        <v>754</v>
      </c>
      <c r="K185" s="217">
        <f t="shared" si="188"/>
        <v>373.45621</v>
      </c>
      <c r="L185" s="34">
        <f t="shared" si="181"/>
        <v>1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406.94758440613356</v>
      </c>
      <c r="N185" s="57">
        <v>0</v>
      </c>
      <c r="O185" s="57">
        <v>0</v>
      </c>
      <c r="P185" s="61">
        <f t="shared" si="182"/>
        <v>1</v>
      </c>
      <c r="Q185" s="40">
        <f t="shared" si="189"/>
        <v>0</v>
      </c>
      <c r="R185" s="40">
        <f t="shared" si="190"/>
        <v>0</v>
      </c>
      <c r="S185" s="44">
        <f t="shared" si="191"/>
        <v>406.94758440613356</v>
      </c>
      <c r="T185" s="35">
        <f t="shared" si="192"/>
        <v>1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441.67956615887056</v>
      </c>
      <c r="V185" s="57">
        <v>0</v>
      </c>
      <c r="W185" s="57">
        <v>0</v>
      </c>
      <c r="X185" s="61">
        <f t="shared" si="183"/>
        <v>1</v>
      </c>
      <c r="Y185" s="40">
        <f t="shared" si="193"/>
        <v>0</v>
      </c>
      <c r="Z185" s="40">
        <f t="shared" si="194"/>
        <v>0</v>
      </c>
      <c r="AA185" s="44">
        <f t="shared" si="195"/>
        <v>441.67956615887056</v>
      </c>
      <c r="AB185" s="35">
        <f t="shared" si="196"/>
        <v>1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478.92791510952259</v>
      </c>
      <c r="AD185" s="57">
        <v>0</v>
      </c>
      <c r="AE185" s="57">
        <v>0</v>
      </c>
      <c r="AF185" s="61">
        <f t="shared" si="184"/>
        <v>1</v>
      </c>
      <c r="AG185" s="40">
        <f t="shared" si="197"/>
        <v>0</v>
      </c>
      <c r="AH185" s="40">
        <f t="shared" si="198"/>
        <v>0</v>
      </c>
      <c r="AI185" s="44">
        <f t="shared" si="199"/>
        <v>478.92791510952259</v>
      </c>
      <c r="AJ185" s="35">
        <f t="shared" si="185"/>
        <v>1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518.3461499624824</v>
      </c>
      <c r="AL185" s="57">
        <v>0</v>
      </c>
      <c r="AM185" s="57">
        <v>0</v>
      </c>
      <c r="AN185" s="61">
        <f t="shared" si="186"/>
        <v>1</v>
      </c>
      <c r="AO185" s="40">
        <f t="shared" si="200"/>
        <v>0</v>
      </c>
      <c r="AP185" s="40">
        <f t="shared" si="201"/>
        <v>0</v>
      </c>
      <c r="AQ185" s="44">
        <f t="shared" si="202"/>
        <v>518.3461499624824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1</v>
      </c>
      <c r="G186" s="35">
        <f>SUMIFS(WORKING!$AC$3:$AC$6802,WORKING!$A$3:$A$6802,Results!$D$3,WORKING!$B$3:$B$6802,Results!A186,WORKING!$C$3:$C$6802,Results!C186)/1000</f>
        <v>1085.3213900000001</v>
      </c>
      <c r="H186" s="35">
        <f t="shared" si="187"/>
        <v>1085.3213900000001</v>
      </c>
      <c r="I186" s="187" t="s">
        <v>754</v>
      </c>
      <c r="J186" s="212" t="s">
        <v>754</v>
      </c>
      <c r="K186" s="217">
        <f t="shared" si="188"/>
        <v>1085.3213900000001</v>
      </c>
      <c r="L186" s="34">
        <f t="shared" si="181"/>
        <v>1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1184.1500344144001</v>
      </c>
      <c r="N186" s="57">
        <v>0</v>
      </c>
      <c r="O186" s="57">
        <v>0</v>
      </c>
      <c r="P186" s="61">
        <f t="shared" si="182"/>
        <v>1</v>
      </c>
      <c r="Q186" s="40">
        <f t="shared" si="189"/>
        <v>0</v>
      </c>
      <c r="R186" s="40">
        <f t="shared" si="190"/>
        <v>0</v>
      </c>
      <c r="S186" s="44">
        <f t="shared" si="191"/>
        <v>1184.1500344144001</v>
      </c>
      <c r="T186" s="35">
        <f t="shared" si="192"/>
        <v>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1284.773611494325</v>
      </c>
      <c r="V186" s="57">
        <v>0</v>
      </c>
      <c r="W186" s="57">
        <v>0</v>
      </c>
      <c r="X186" s="61">
        <f t="shared" si="183"/>
        <v>1</v>
      </c>
      <c r="Y186" s="40">
        <f t="shared" si="193"/>
        <v>0</v>
      </c>
      <c r="Z186" s="40">
        <f t="shared" si="194"/>
        <v>0</v>
      </c>
      <c r="AA186" s="44">
        <f t="shared" si="195"/>
        <v>1284.773611494325</v>
      </c>
      <c r="AB186" s="35">
        <f t="shared" si="196"/>
        <v>1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1392.6449585257114</v>
      </c>
      <c r="AD186" s="57">
        <v>0</v>
      </c>
      <c r="AE186" s="57">
        <v>0</v>
      </c>
      <c r="AF186" s="61">
        <f t="shared" si="184"/>
        <v>1</v>
      </c>
      <c r="AG186" s="40">
        <f t="shared" si="197"/>
        <v>0</v>
      </c>
      <c r="AH186" s="40">
        <f t="shared" si="198"/>
        <v>0</v>
      </c>
      <c r="AI186" s="44">
        <f t="shared" si="199"/>
        <v>1392.6449585257114</v>
      </c>
      <c r="AJ186" s="35">
        <f t="shared" si="185"/>
        <v>1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1506.7490592721658</v>
      </c>
      <c r="AL186" s="57">
        <v>0</v>
      </c>
      <c r="AM186" s="57">
        <v>0</v>
      </c>
      <c r="AN186" s="61">
        <f t="shared" si="186"/>
        <v>1</v>
      </c>
      <c r="AO186" s="40">
        <f t="shared" si="200"/>
        <v>0</v>
      </c>
      <c r="AP186" s="40">
        <f t="shared" si="201"/>
        <v>0</v>
      </c>
      <c r="AQ186" s="44">
        <f t="shared" si="202"/>
        <v>1506.7490592721658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5</v>
      </c>
      <c r="G187" s="35">
        <f>SUMIFS(WORKING!$AC$3:$AC$6802,WORKING!$A$3:$A$6802,Results!$D$3,WORKING!$B$3:$B$6802,Results!A187,WORKING!$C$3:$C$6802,Results!C187)/1000</f>
        <v>3146.5477099999998</v>
      </c>
      <c r="H187" s="35">
        <f t="shared" si="187"/>
        <v>629.30954199999996</v>
      </c>
      <c r="I187" s="187" t="s">
        <v>754</v>
      </c>
      <c r="J187" s="212" t="s">
        <v>754</v>
      </c>
      <c r="K187" s="217">
        <f t="shared" si="188"/>
        <v>629.30954199999996</v>
      </c>
      <c r="L187" s="34">
        <f t="shared" si="181"/>
        <v>5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687.08466689864008</v>
      </c>
      <c r="N187" s="57">
        <v>2</v>
      </c>
      <c r="O187" s="57">
        <v>0</v>
      </c>
      <c r="P187" s="61">
        <f t="shared" si="182"/>
        <v>7</v>
      </c>
      <c r="Q187" s="40">
        <f t="shared" si="189"/>
        <v>1374.1693337972802</v>
      </c>
      <c r="R187" s="40">
        <f t="shared" si="190"/>
        <v>0</v>
      </c>
      <c r="S187" s="44">
        <f t="shared" si="191"/>
        <v>4809.592668290481</v>
      </c>
      <c r="T187" s="35">
        <f t="shared" si="192"/>
        <v>7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745.98089179497231</v>
      </c>
      <c r="V187" s="57">
        <v>0</v>
      </c>
      <c r="W187" s="57">
        <v>0</v>
      </c>
      <c r="X187" s="61">
        <f t="shared" si="183"/>
        <v>7</v>
      </c>
      <c r="Y187" s="40">
        <f t="shared" si="193"/>
        <v>0</v>
      </c>
      <c r="Z187" s="40">
        <f t="shared" si="194"/>
        <v>0</v>
      </c>
      <c r="AA187" s="44">
        <f t="shared" si="195"/>
        <v>5221.8662425648063</v>
      </c>
      <c r="AB187" s="35">
        <f t="shared" si="196"/>
        <v>7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809.16870356826257</v>
      </c>
      <c r="AD187" s="57">
        <v>0</v>
      </c>
      <c r="AE187" s="57">
        <v>1</v>
      </c>
      <c r="AF187" s="61">
        <f t="shared" si="184"/>
        <v>6</v>
      </c>
      <c r="AG187" s="40">
        <f t="shared" si="197"/>
        <v>0</v>
      </c>
      <c r="AH187" s="40">
        <f t="shared" si="198"/>
        <v>-809.16870356826257</v>
      </c>
      <c r="AI187" s="44">
        <f t="shared" si="199"/>
        <v>4855.0122214095754</v>
      </c>
      <c r="AJ187" s="35">
        <f t="shared" si="185"/>
        <v>6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876.0666847399915</v>
      </c>
      <c r="AL187" s="57">
        <v>0</v>
      </c>
      <c r="AM187" s="57">
        <v>0</v>
      </c>
      <c r="AN187" s="61">
        <f t="shared" si="186"/>
        <v>6</v>
      </c>
      <c r="AO187" s="40">
        <f t="shared" si="200"/>
        <v>0</v>
      </c>
      <c r="AP187" s="40">
        <f t="shared" si="201"/>
        <v>0</v>
      </c>
      <c r="AQ187" s="44">
        <f t="shared" si="202"/>
        <v>5256.4001084399488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7</v>
      </c>
      <c r="G188" s="35">
        <f>SUMIFS(WORKING!$AC$3:$AC$6802,WORKING!$A$3:$A$6802,Results!$D$3,WORKING!$B$3:$B$6802,Results!A188,WORKING!$C$3:$C$6802,Results!C188)/1000</f>
        <v>7182.2778399999997</v>
      </c>
      <c r="H188" s="35">
        <f t="shared" si="187"/>
        <v>1026.0396914285714</v>
      </c>
      <c r="I188" s="187" t="s">
        <v>754</v>
      </c>
      <c r="J188" s="212" t="s">
        <v>754</v>
      </c>
      <c r="K188" s="217">
        <f t="shared" si="188"/>
        <v>1026.0396914285714</v>
      </c>
      <c r="L188" s="34">
        <f t="shared" si="181"/>
        <v>7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1075.5412440548498</v>
      </c>
      <c r="N188" s="57">
        <v>0</v>
      </c>
      <c r="O188" s="57">
        <v>0</v>
      </c>
      <c r="P188" s="61">
        <f t="shared" si="182"/>
        <v>7</v>
      </c>
      <c r="Q188" s="40">
        <f t="shared" si="189"/>
        <v>0</v>
      </c>
      <c r="R188" s="40">
        <f t="shared" si="190"/>
        <v>0</v>
      </c>
      <c r="S188" s="44">
        <f t="shared" si="191"/>
        <v>7528.7887083839487</v>
      </c>
      <c r="T188" s="35">
        <f t="shared" si="192"/>
        <v>7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1156.899199151685</v>
      </c>
      <c r="V188" s="57">
        <v>0</v>
      </c>
      <c r="W188" s="57">
        <v>0</v>
      </c>
      <c r="X188" s="61">
        <f t="shared" si="183"/>
        <v>7</v>
      </c>
      <c r="Y188" s="40">
        <f t="shared" si="193"/>
        <v>0</v>
      </c>
      <c r="Z188" s="40">
        <f t="shared" si="194"/>
        <v>0</v>
      </c>
      <c r="AA188" s="44">
        <f t="shared" si="195"/>
        <v>8098.2943940617952</v>
      </c>
      <c r="AB188" s="35">
        <f t="shared" si="196"/>
        <v>7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1243.2374007175613</v>
      </c>
      <c r="AD188" s="57">
        <v>0</v>
      </c>
      <c r="AE188" s="57">
        <v>0</v>
      </c>
      <c r="AF188" s="61">
        <f t="shared" si="184"/>
        <v>7</v>
      </c>
      <c r="AG188" s="40">
        <f t="shared" si="197"/>
        <v>0</v>
      </c>
      <c r="AH188" s="40">
        <f t="shared" si="198"/>
        <v>0</v>
      </c>
      <c r="AI188" s="44">
        <f t="shared" si="199"/>
        <v>8702.6618050229299</v>
      </c>
      <c r="AJ188" s="35">
        <f t="shared" si="185"/>
        <v>7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1333.4957629903004</v>
      </c>
      <c r="AL188" s="57">
        <v>0</v>
      </c>
      <c r="AM188" s="57">
        <v>0</v>
      </c>
      <c r="AN188" s="61">
        <f t="shared" si="186"/>
        <v>7</v>
      </c>
      <c r="AO188" s="40">
        <f t="shared" si="200"/>
        <v>0</v>
      </c>
      <c r="AP188" s="40">
        <f t="shared" si="201"/>
        <v>0</v>
      </c>
      <c r="AQ188" s="44">
        <f t="shared" si="202"/>
        <v>9334.4703409321028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2</v>
      </c>
      <c r="G189" s="35">
        <f>SUMIFS(WORKING!$AC$3:$AC$6802,WORKING!$A$3:$A$6802,Results!$D$3,WORKING!$B$3:$B$6802,Results!A189,WORKING!$C$3:$C$6802,Results!C189)/1000</f>
        <v>2981.3484300000005</v>
      </c>
      <c r="H189" s="35">
        <f t="shared" si="187"/>
        <v>1490.6742150000002</v>
      </c>
      <c r="I189" s="187" t="s">
        <v>754</v>
      </c>
      <c r="J189" s="212" t="s">
        <v>754</v>
      </c>
      <c r="K189" s="217">
        <f t="shared" si="188"/>
        <v>1490.6742150000002</v>
      </c>
      <c r="L189" s="34">
        <f t="shared" si="181"/>
        <v>2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1562.4163524702001</v>
      </c>
      <c r="N189" s="57">
        <v>3</v>
      </c>
      <c r="O189" s="57">
        <v>0</v>
      </c>
      <c r="P189" s="61">
        <f t="shared" si="182"/>
        <v>5</v>
      </c>
      <c r="Q189" s="40">
        <f t="shared" si="189"/>
        <v>4687.2490574106005</v>
      </c>
      <c r="R189" s="40">
        <f t="shared" si="190"/>
        <v>0</v>
      </c>
      <c r="S189" s="44">
        <f t="shared" si="191"/>
        <v>7812.0817623510002</v>
      </c>
      <c r="T189" s="35">
        <f t="shared" si="192"/>
        <v>5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1680.4142503973785</v>
      </c>
      <c r="V189" s="57">
        <v>0</v>
      </c>
      <c r="W189" s="57">
        <v>0</v>
      </c>
      <c r="X189" s="61">
        <f t="shared" si="183"/>
        <v>5</v>
      </c>
      <c r="Y189" s="40">
        <f t="shared" si="193"/>
        <v>0</v>
      </c>
      <c r="Z189" s="40">
        <f t="shared" si="194"/>
        <v>0</v>
      </c>
      <c r="AA189" s="44">
        <f t="shared" si="195"/>
        <v>8402.0712519868921</v>
      </c>
      <c r="AB189" s="35">
        <f t="shared" si="196"/>
        <v>5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1805.618645575119</v>
      </c>
      <c r="AD189" s="57">
        <v>0</v>
      </c>
      <c r="AE189" s="57">
        <v>0</v>
      </c>
      <c r="AF189" s="61">
        <f t="shared" si="184"/>
        <v>5</v>
      </c>
      <c r="AG189" s="40">
        <f t="shared" si="197"/>
        <v>0</v>
      </c>
      <c r="AH189" s="40">
        <f t="shared" si="198"/>
        <v>0</v>
      </c>
      <c r="AI189" s="44">
        <f t="shared" si="199"/>
        <v>9028.0932278755954</v>
      </c>
      <c r="AJ189" s="35">
        <f t="shared" si="185"/>
        <v>5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1936.4876561033268</v>
      </c>
      <c r="AL189" s="57">
        <v>0</v>
      </c>
      <c r="AM189" s="57">
        <v>0</v>
      </c>
      <c r="AN189" s="61">
        <f t="shared" si="186"/>
        <v>5</v>
      </c>
      <c r="AO189" s="40">
        <f t="shared" si="200"/>
        <v>0</v>
      </c>
      <c r="AP189" s="40">
        <f t="shared" si="201"/>
        <v>0</v>
      </c>
      <c r="AQ189" s="44">
        <f t="shared" si="202"/>
        <v>9682.4382805166333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1267.8758</v>
      </c>
      <c r="H190" s="35">
        <f t="shared" si="187"/>
        <v>1267.8758</v>
      </c>
      <c r="I190" s="187" t="s">
        <v>754</v>
      </c>
      <c r="J190" s="212" t="s">
        <v>754</v>
      </c>
      <c r="K190" s="217">
        <f t="shared" si="188"/>
        <v>1267.8758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1328.2759508107999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1328.2759508107999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1427.9251745958147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1427.9251745958147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1533.6020697432989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1533.6020697432989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1643.989157075285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1643.989157075285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757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4</v>
      </c>
      <c r="O195" s="57">
        <v>0</v>
      </c>
      <c r="P195" s="61">
        <f t="shared" si="182"/>
        <v>4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4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4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4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4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4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4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21</v>
      </c>
      <c r="G196" s="41">
        <f>SUM(G176:G195)</f>
        <v>17936.594950000002</v>
      </c>
      <c r="H196" s="41">
        <f>IFERROR(G196/F196,0)</f>
        <v>854.12356904761918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21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17936.594950000002</v>
      </c>
      <c r="K196" s="41">
        <f>IFERROR(J196/I196,"")</f>
        <v>854.12356904761918</v>
      </c>
      <c r="L196" s="41">
        <f>SUM(L176:L195)</f>
        <v>21</v>
      </c>
      <c r="M196" s="41">
        <f>IFERROR(S196/P196,0)</f>
        <v>843.57402775156891</v>
      </c>
      <c r="N196" s="41">
        <f t="shared" ref="N196:T196" si="203">SUM(N176:N195)</f>
        <v>9</v>
      </c>
      <c r="O196" s="41">
        <f t="shared" si="203"/>
        <v>1</v>
      </c>
      <c r="P196" s="41">
        <f t="shared" si="203"/>
        <v>29</v>
      </c>
      <c r="Q196" s="41">
        <f t="shared" si="203"/>
        <v>6061.4183912078806</v>
      </c>
      <c r="R196" s="41">
        <f t="shared" si="203"/>
        <v>-649.39160024374507</v>
      </c>
      <c r="S196" s="45">
        <f t="shared" si="203"/>
        <v>24463.646804795499</v>
      </c>
      <c r="T196" s="41">
        <f t="shared" si="203"/>
        <v>29</v>
      </c>
      <c r="U196" s="41">
        <f>IFERROR(AA196/X196,0)</f>
        <v>909.96663216525644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29</v>
      </c>
      <c r="Y196" s="41">
        <f t="shared" si="204"/>
        <v>0</v>
      </c>
      <c r="Z196" s="41">
        <f t="shared" si="204"/>
        <v>0</v>
      </c>
      <c r="AA196" s="45">
        <f t="shared" si="204"/>
        <v>26389.032332792438</v>
      </c>
      <c r="AB196" s="41">
        <f t="shared" si="204"/>
        <v>29</v>
      </c>
      <c r="AC196" s="41">
        <f>IFERROR(AI196/AF196,0)</f>
        <v>1003.1113102973821</v>
      </c>
      <c r="AD196" s="41">
        <f t="shared" ref="AD196:AJ196" si="205">SUM(AD176:AD195)</f>
        <v>0</v>
      </c>
      <c r="AE196" s="41">
        <f t="shared" si="205"/>
        <v>2</v>
      </c>
      <c r="AF196" s="41">
        <f t="shared" si="205"/>
        <v>27</v>
      </c>
      <c r="AG196" s="41">
        <f t="shared" si="205"/>
        <v>0</v>
      </c>
      <c r="AH196" s="41">
        <f t="shared" si="205"/>
        <v>-1355.7002937396037</v>
      </c>
      <c r="AI196" s="45">
        <f t="shared" si="205"/>
        <v>27084.005378029316</v>
      </c>
      <c r="AJ196" s="41">
        <f t="shared" si="205"/>
        <v>27</v>
      </c>
      <c r="AK196" s="41">
        <f>IFERROR(AQ196/AN196,0)</f>
        <v>1078.709295264433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27</v>
      </c>
      <c r="AO196" s="41">
        <f t="shared" si="206"/>
        <v>0</v>
      </c>
      <c r="AP196" s="41">
        <f t="shared" si="206"/>
        <v>0</v>
      </c>
      <c r="AQ196" s="45">
        <f t="shared" si="206"/>
        <v>29125.150972139691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20117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18947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16607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17869.132000000001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-4346.6468047954986</v>
      </c>
      <c r="T198" s="39"/>
      <c r="U198" s="39"/>
      <c r="V198" s="53"/>
      <c r="W198" s="53"/>
      <c r="X198" s="110"/>
      <c r="Y198" s="39"/>
      <c r="Z198" s="39"/>
      <c r="AA198" s="54">
        <f>AA197-AA196</f>
        <v>-7442.032332792438</v>
      </c>
      <c r="AB198" s="39"/>
      <c r="AC198" s="53"/>
      <c r="AD198" s="53"/>
      <c r="AE198" s="110"/>
      <c r="AF198" s="39"/>
      <c r="AG198" s="39"/>
      <c r="AH198" s="39"/>
      <c r="AI198" s="54">
        <f>AI197-AI196</f>
        <v>-10477.005378029316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-11256.018972139689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h3CxlTDkR+mj5jaU8BZeeHmVZoyzk8hSJ7geY65LAcDlGNdUQlcj55TCpdRFfaoWbHqzEJ1v9zlcJh4EgjK35Q==" saltValue="2wcMCXCwPAl7uKXaAoU2L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Telecommunications and Postal Services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32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42671.511000925922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NAT_HRBP__42671.5110009259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HRBP-Vote32.xlsx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df7ca258-5e24-45de-bd31-dbc76bc6765a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